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/>
  <mc:AlternateContent xmlns:mc="http://schemas.openxmlformats.org/markup-compatibility/2006">
    <mc:Choice Requires="x15">
      <x15ac:absPath xmlns:x15ac="http://schemas.microsoft.com/office/spreadsheetml/2010/11/ac" url="/Users/tinanewell/Documents/BEYTON /November 2023/"/>
    </mc:Choice>
  </mc:AlternateContent>
  <xr:revisionPtr revIDLastSave="0" documentId="8_{C26DA019-9EA7-DD43-AD93-AD3A7F9C3D6D}" xr6:coauthVersionLast="36" xr6:coauthVersionMax="36" xr10:uidLastSave="{00000000-0000-0000-0000-000000000000}"/>
  <bookViews>
    <workbookView xWindow="0" yWindow="460" windowWidth="25600" windowHeight="14820" xr2:uid="{00000000-000D-0000-FFFF-FFFF00000000}"/>
  </bookViews>
  <sheets>
    <sheet name="Bank Rec" sheetId="1" r:id="rId1"/>
    <sheet name="Reserves" sheetId="48" r:id="rId2"/>
    <sheet name="Budget vs Actual  " sheetId="2" r:id="rId3"/>
    <sheet name="Payments Receipts Cash Book" sheetId="3" state="hidden" r:id="rId4"/>
    <sheet name="Gudgeons Rec" sheetId="54" r:id="rId5"/>
    <sheet name="Clerks Timesheet" sheetId="52" r:id="rId6"/>
    <sheet name="Budget 2024 25" sheetId="53" r:id="rId7"/>
    <sheet name="Reconciliation re Green" sheetId="49" state="hidden" r:id="rId8"/>
    <sheet name="CIL" sheetId="50" state="hidden" r:id="rId9"/>
    <sheet name="Variances" sheetId="51" state="hidden" r:id="rId10"/>
    <sheet name="YEAR END P&amp;R" sheetId="42" state="hidden" r:id="rId11"/>
  </sheets>
  <definedNames>
    <definedName name="_xlnm._FilterDatabase" localSheetId="3" hidden="1">'Payments Receipts Cash Book'!$A$15:$AG$57</definedName>
    <definedName name="_xlnm.Print_Area" localSheetId="0">'Bank Rec'!$A$1:$H$19</definedName>
    <definedName name="_xlnm.Print_Area" localSheetId="6">'Budget 2024 25'!$A$1:$J$63</definedName>
    <definedName name="_xlnm.Print_Area" localSheetId="2">'Budget vs Actual  '!$A$1:$I$63</definedName>
    <definedName name="_xlnm.Print_Area" localSheetId="5">'Clerks Timesheet'!$A$1:$D$29</definedName>
    <definedName name="_xlnm.Print_Area" localSheetId="3">'Payments Receipts Cash Book'!$A$1:$AO$42</definedName>
    <definedName name="_xlnm.Print_Area" localSheetId="1">Reserves!$A$1:$I$26</definedName>
    <definedName name="_xlnm.Print_Area" localSheetId="9">Variances!$A$1:$N$38</definedName>
    <definedName name="Z_D77C52FB_56C3_AF47_AD29_EE07F130855B_.wvu.Cols" localSheetId="6" hidden="1">'Budget 2024 25'!$N:$N</definedName>
    <definedName name="Z_D77C52FB_56C3_AF47_AD29_EE07F130855B_.wvu.Cols" localSheetId="2" hidden="1">'Budget vs Actual  '!$M:$M</definedName>
    <definedName name="Z_D77C52FB_56C3_AF47_AD29_EE07F130855B_.wvu.Cols" localSheetId="3" hidden="1">'Payments Receipts Cash Book'!$AQ:$AQ,'Payments Receipts Cash Book'!$AW:$AW,'Payments Receipts Cash Book'!#REF!,'Payments Receipts Cash Book'!$BD:$BD</definedName>
    <definedName name="Z_D77C52FB_56C3_AF47_AD29_EE07F130855B_.wvu.FilterData" localSheetId="3" hidden="1">'Payments Receipts Cash Book'!$A$15:$AC$20</definedName>
    <definedName name="Z_D77C52FB_56C3_AF47_AD29_EE07F130855B_.wvu.PrintArea" localSheetId="0" hidden="1">'Bank Rec'!$A$1:$F$19</definedName>
    <definedName name="Z_D77C52FB_56C3_AF47_AD29_EE07F130855B_.wvu.PrintArea" localSheetId="6" hidden="1">'Budget 2024 25'!$A$1:$V$53</definedName>
    <definedName name="Z_D77C52FB_56C3_AF47_AD29_EE07F130855B_.wvu.PrintArea" localSheetId="2" hidden="1">'Budget vs Actual  '!$A$1:$U$52</definedName>
  </definedNames>
  <calcPr calcId="181029"/>
  <customWorkbookViews>
    <customWorkbookView name="Microsoft Office User - Personal View" guid="{D77C52FB-56C3-AF47-AD29-EE07F130855B}" mergeInterval="0" personalView="1" windowWidth="1280" windowHeight="452" activeSheetId="1"/>
  </customWorkbookViews>
</workbook>
</file>

<file path=xl/calcChain.xml><?xml version="1.0" encoding="utf-8"?>
<calcChain xmlns="http://schemas.openxmlformats.org/spreadsheetml/2006/main">
  <c r="J54" i="3" l="1"/>
  <c r="C15" i="52"/>
  <c r="B15" i="52"/>
  <c r="I23" i="2"/>
  <c r="I17" i="2"/>
  <c r="F17" i="48"/>
  <c r="J9" i="53"/>
  <c r="I19" i="53"/>
  <c r="H66" i="53"/>
  <c r="I28" i="2"/>
  <c r="H28" i="2"/>
  <c r="E6" i="48"/>
  <c r="E19" i="48" s="1"/>
  <c r="E18" i="48"/>
  <c r="D17" i="54"/>
  <c r="E16" i="48"/>
  <c r="E13" i="48"/>
  <c r="E9" i="48"/>
  <c r="E7" i="48"/>
  <c r="D15" i="54"/>
  <c r="D14" i="54"/>
  <c r="D13" i="54"/>
  <c r="B3" i="54"/>
  <c r="D10" i="54"/>
  <c r="D9" i="54"/>
  <c r="D8" i="54"/>
  <c r="D7" i="54"/>
  <c r="D6" i="54"/>
  <c r="D5" i="54"/>
  <c r="D4" i="54"/>
  <c r="D3" i="54"/>
  <c r="D26" i="48"/>
  <c r="G26" i="48"/>
  <c r="E26" i="48"/>
  <c r="I25" i="2" l="1"/>
  <c r="I22" i="2"/>
  <c r="J62" i="53"/>
  <c r="J61" i="53"/>
  <c r="J59" i="53"/>
  <c r="J58" i="53"/>
  <c r="J57" i="53"/>
  <c r="J56" i="53"/>
  <c r="J55" i="53"/>
  <c r="J35" i="53"/>
  <c r="J34" i="53"/>
  <c r="J33" i="53"/>
  <c r="J31" i="53"/>
  <c r="J30" i="53"/>
  <c r="J29" i="53"/>
  <c r="J28" i="53"/>
  <c r="J27" i="53"/>
  <c r="J26" i="53"/>
  <c r="J25" i="53"/>
  <c r="J24" i="53"/>
  <c r="J23" i="53"/>
  <c r="J22" i="53"/>
  <c r="J19" i="53"/>
  <c r="J18" i="53"/>
  <c r="J17" i="53"/>
  <c r="J16" i="53"/>
  <c r="J15" i="53"/>
  <c r="J14" i="53"/>
  <c r="J13" i="53"/>
  <c r="J12" i="53"/>
  <c r="J11" i="53"/>
  <c r="J10" i="53"/>
  <c r="J6" i="53"/>
  <c r="J4" i="53"/>
  <c r="J8" i="53"/>
  <c r="I29" i="53"/>
  <c r="I26" i="53"/>
  <c r="I23" i="53"/>
  <c r="I22" i="53"/>
  <c r="D11" i="48"/>
  <c r="I14" i="53"/>
  <c r="I13" i="53"/>
  <c r="I11" i="53"/>
  <c r="I10" i="53"/>
  <c r="I8" i="53"/>
  <c r="B80" i="53"/>
  <c r="B67" i="53"/>
  <c r="E66" i="53"/>
  <c r="O63" i="53"/>
  <c r="N63" i="53"/>
  <c r="L63" i="53"/>
  <c r="C63" i="53"/>
  <c r="F60" i="53"/>
  <c r="D67" i="53" s="1"/>
  <c r="E60" i="53"/>
  <c r="E59" i="53"/>
  <c r="D59" i="53"/>
  <c r="D58" i="53"/>
  <c r="B57" i="53"/>
  <c r="D57" i="53" s="1"/>
  <c r="M56" i="53"/>
  <c r="M63" i="53" s="1"/>
  <c r="M54" i="53"/>
  <c r="O36" i="53"/>
  <c r="L36" i="53"/>
  <c r="C34" i="53"/>
  <c r="A34" i="53"/>
  <c r="F32" i="53"/>
  <c r="C32" i="53"/>
  <c r="A32" i="53"/>
  <c r="A31" i="53"/>
  <c r="E30" i="53"/>
  <c r="O29" i="53"/>
  <c r="M29" i="53"/>
  <c r="M36" i="53" s="1"/>
  <c r="F29" i="53"/>
  <c r="E29" i="53"/>
  <c r="A29" i="53"/>
  <c r="F28" i="53"/>
  <c r="E28" i="53"/>
  <c r="A28" i="53"/>
  <c r="A27" i="53"/>
  <c r="F26" i="53"/>
  <c r="E26" i="53"/>
  <c r="C26" i="53"/>
  <c r="A26" i="53"/>
  <c r="D25" i="53"/>
  <c r="C24" i="53"/>
  <c r="A24" i="53"/>
  <c r="F23" i="53"/>
  <c r="C23" i="53"/>
  <c r="A23" i="53"/>
  <c r="A22" i="53"/>
  <c r="F21" i="53"/>
  <c r="A21" i="53"/>
  <c r="C20" i="53"/>
  <c r="A20" i="53"/>
  <c r="C19" i="53"/>
  <c r="E19" i="53" s="1"/>
  <c r="A19" i="53"/>
  <c r="E18" i="53"/>
  <c r="A18" i="53"/>
  <c r="C17" i="53"/>
  <c r="E17" i="53" s="1"/>
  <c r="A17" i="53"/>
  <c r="F16" i="53"/>
  <c r="A16" i="53"/>
  <c r="A15" i="53"/>
  <c r="A14" i="53"/>
  <c r="E12" i="53"/>
  <c r="F11" i="53"/>
  <c r="C11" i="53"/>
  <c r="A11" i="53"/>
  <c r="E10" i="53"/>
  <c r="A10" i="53"/>
  <c r="F8" i="53"/>
  <c r="E8" i="53"/>
  <c r="C8" i="53"/>
  <c r="A8" i="53"/>
  <c r="A7" i="53"/>
  <c r="F5" i="53"/>
  <c r="C5" i="53"/>
  <c r="A5" i="53"/>
  <c r="N4" i="53"/>
  <c r="N36" i="53" s="1"/>
  <c r="A4" i="53"/>
  <c r="G12" i="48"/>
  <c r="G8" i="48"/>
  <c r="AJ50" i="3"/>
  <c r="Q49" i="3"/>
  <c r="AP49" i="3" s="1"/>
  <c r="AP52" i="3"/>
  <c r="AP56" i="3"/>
  <c r="AP57" i="3"/>
  <c r="L51" i="3"/>
  <c r="AN51" i="3" s="1"/>
  <c r="B14" i="52"/>
  <c r="D13" i="52"/>
  <c r="B13" i="52"/>
  <c r="B22" i="52"/>
  <c r="B10" i="52"/>
  <c r="B8" i="52"/>
  <c r="B7" i="52"/>
  <c r="B6" i="52"/>
  <c r="B5" i="52"/>
  <c r="B24" i="48"/>
  <c r="G18" i="48"/>
  <c r="L41" i="3"/>
  <c r="T41" i="3" s="1"/>
  <c r="J12" i="3"/>
  <c r="B55" i="2" s="1"/>
  <c r="I12" i="3"/>
  <c r="B61" i="53" s="1"/>
  <c r="D61" i="53" s="1"/>
  <c r="F12" i="3"/>
  <c r="B62" i="53" s="1"/>
  <c r="D62" i="53" s="1"/>
  <c r="H11" i="3"/>
  <c r="H12" i="3" s="1"/>
  <c r="C6" i="48" s="1"/>
  <c r="C16" i="52"/>
  <c r="L46" i="3"/>
  <c r="V46" i="3" s="1"/>
  <c r="L50" i="3"/>
  <c r="K48" i="3"/>
  <c r="L47" i="3"/>
  <c r="AK47" i="3" s="1"/>
  <c r="L44" i="3"/>
  <c r="G17" i="48"/>
  <c r="G16" i="48"/>
  <c r="G10" i="3"/>
  <c r="G12" i="3" s="1"/>
  <c r="B60" i="53" s="1"/>
  <c r="D60" i="53" s="1"/>
  <c r="AJ43" i="3"/>
  <c r="AG43" i="3"/>
  <c r="N45" i="3"/>
  <c r="AP45" i="3" s="1"/>
  <c r="J45" i="3"/>
  <c r="B19" i="48"/>
  <c r="G19" i="48" s="1"/>
  <c r="G7" i="48"/>
  <c r="G9" i="48"/>
  <c r="G13" i="48"/>
  <c r="G14" i="48"/>
  <c r="B25" i="48"/>
  <c r="I25" i="48"/>
  <c r="I24" i="48"/>
  <c r="AP42" i="3"/>
  <c r="AP40" i="3"/>
  <c r="AP39" i="3"/>
  <c r="AP38" i="3"/>
  <c r="AP37" i="3"/>
  <c r="E9" i="3"/>
  <c r="I6" i="1"/>
  <c r="B26" i="48" l="1"/>
  <c r="B55" i="53"/>
  <c r="E55" i="53" s="1"/>
  <c r="AP50" i="3"/>
  <c r="B56" i="53"/>
  <c r="E56" i="53" s="1"/>
  <c r="E61" i="53"/>
  <c r="C67" i="53"/>
  <c r="E57" i="53"/>
  <c r="F63" i="53"/>
  <c r="D55" i="53"/>
  <c r="C36" i="53"/>
  <c r="E62" i="53"/>
  <c r="AP46" i="3"/>
  <c r="AP51" i="3"/>
  <c r="AP47" i="3"/>
  <c r="L48" i="3"/>
  <c r="U48" i="3" s="1"/>
  <c r="AJ44" i="3"/>
  <c r="AP41" i="3"/>
  <c r="D68" i="53" l="1"/>
  <c r="C68" i="53"/>
  <c r="B63" i="53"/>
  <c r="D56" i="53"/>
  <c r="D63" i="53" s="1"/>
  <c r="E63" i="53"/>
  <c r="AP48" i="3"/>
  <c r="AP44" i="3"/>
  <c r="L36" i="3"/>
  <c r="AP36" i="3" s="1"/>
  <c r="L35" i="3"/>
  <c r="AP35" i="3" s="1"/>
  <c r="E29" i="2"/>
  <c r="E28" i="2"/>
  <c r="E59" i="2"/>
  <c r="B79" i="2"/>
  <c r="C22" i="2"/>
  <c r="C19" i="2"/>
  <c r="E17" i="2"/>
  <c r="E8" i="2"/>
  <c r="C31" i="2"/>
  <c r="C5" i="2" l="1"/>
  <c r="C23" i="2"/>
  <c r="C8" i="1"/>
  <c r="H11" i="48"/>
  <c r="AF31" i="3"/>
  <c r="AG31" i="3"/>
  <c r="B56" i="2" l="1"/>
  <c r="C25" i="48"/>
  <c r="L31" i="3"/>
  <c r="J31" i="3" s="1"/>
  <c r="Z33" i="3"/>
  <c r="L33" i="3"/>
  <c r="L32" i="3"/>
  <c r="P32" i="3" s="1"/>
  <c r="L30" i="3"/>
  <c r="N30" i="3" s="1"/>
  <c r="AP27" i="3"/>
  <c r="L29" i="3"/>
  <c r="W29" i="3" s="1"/>
  <c r="AP29" i="3" s="1"/>
  <c r="L28" i="3"/>
  <c r="Q28" i="3" s="1"/>
  <c r="L26" i="3"/>
  <c r="AP26" i="3" s="1"/>
  <c r="D12" i="52"/>
  <c r="H25" i="48" l="1"/>
  <c r="F11" i="48"/>
  <c r="AP30" i="3"/>
  <c r="AP32" i="3"/>
  <c r="AP28" i="3"/>
  <c r="AP33" i="3"/>
  <c r="D4" i="1"/>
  <c r="B16" i="52" l="1"/>
  <c r="D9" i="52"/>
  <c r="D16" i="52" s="1"/>
  <c r="L43" i="3" l="1"/>
  <c r="L17" i="3"/>
  <c r="AP17" i="3" s="1"/>
  <c r="L25" i="3"/>
  <c r="AM25" i="3" s="1"/>
  <c r="W22" i="3"/>
  <c r="AP22" i="3" s="1"/>
  <c r="R20" i="3"/>
  <c r="AC19" i="3"/>
  <c r="L19" i="3"/>
  <c r="L24" i="3"/>
  <c r="AP24" i="3" s="1"/>
  <c r="L18" i="3"/>
  <c r="W18" i="3" s="1"/>
  <c r="L23" i="3"/>
  <c r="AP23" i="3" s="1"/>
  <c r="AP21" i="3"/>
  <c r="L16" i="3"/>
  <c r="E8" i="3"/>
  <c r="E7" i="3"/>
  <c r="E6" i="3"/>
  <c r="E5" i="3"/>
  <c r="K62" i="2"/>
  <c r="K35" i="2"/>
  <c r="E12" i="3" l="1"/>
  <c r="AP43" i="3"/>
  <c r="AP20" i="3"/>
  <c r="AP16" i="3"/>
  <c r="AP19" i="3"/>
  <c r="AP25" i="3"/>
  <c r="AP18" i="3"/>
  <c r="L34" i="3" l="1"/>
  <c r="AP31" i="3"/>
  <c r="G16" i="51"/>
  <c r="I22" i="51"/>
  <c r="J34" i="51"/>
  <c r="I34" i="51"/>
  <c r="H34" i="51"/>
  <c r="G34" i="51"/>
  <c r="J22" i="51"/>
  <c r="H22" i="51"/>
  <c r="G22" i="51"/>
  <c r="G10" i="50"/>
  <c r="H13" i="50"/>
  <c r="H12" i="50"/>
  <c r="H8" i="50"/>
  <c r="H15" i="50"/>
  <c r="C15" i="50"/>
  <c r="D9" i="50"/>
  <c r="D15" i="50" s="1"/>
  <c r="E12" i="50"/>
  <c r="F15" i="50"/>
  <c r="C18" i="2"/>
  <c r="C25" i="2"/>
  <c r="C8" i="2"/>
  <c r="C33" i="2"/>
  <c r="B20" i="49"/>
  <c r="B14" i="49"/>
  <c r="B8" i="49"/>
  <c r="C34" i="42"/>
  <c r="H46" i="42"/>
  <c r="G46" i="42"/>
  <c r="C7" i="1"/>
  <c r="E65" i="2"/>
  <c r="C24" i="48" l="1"/>
  <c r="C26" i="48" s="1"/>
  <c r="D9" i="1"/>
  <c r="B64" i="53" s="1"/>
  <c r="AP34" i="3"/>
  <c r="M11" i="51"/>
  <c r="L22" i="51"/>
  <c r="M22" i="51" s="1"/>
  <c r="L34" i="51"/>
  <c r="M34" i="51" s="1"/>
  <c r="K22" i="51"/>
  <c r="K34" i="51"/>
  <c r="E15" i="50"/>
  <c r="I46" i="42"/>
  <c r="D24" i="2"/>
  <c r="E56" i="2"/>
  <c r="E58" i="2"/>
  <c r="C16" i="2"/>
  <c r="E16" i="2" s="1"/>
  <c r="C10" i="2"/>
  <c r="E27" i="2"/>
  <c r="E25" i="2"/>
  <c r="E18" i="2"/>
  <c r="E11" i="2"/>
  <c r="E9" i="2"/>
  <c r="D7" i="42"/>
  <c r="C35" i="2" l="1"/>
  <c r="B66" i="2" l="1"/>
  <c r="N28" i="2"/>
  <c r="L28" i="2"/>
  <c r="L55" i="2"/>
  <c r="F59" i="2" l="1"/>
  <c r="D66" i="2" s="1"/>
  <c r="F5" i="2"/>
  <c r="F20" i="2"/>
  <c r="F8" i="2"/>
  <c r="F31" i="2"/>
  <c r="F28" i="2"/>
  <c r="F27" i="2"/>
  <c r="F25" i="2"/>
  <c r="F22" i="2"/>
  <c r="F15" i="2"/>
  <c r="F10" i="2"/>
  <c r="D58" i="2"/>
  <c r="D57" i="2"/>
  <c r="D56" i="2"/>
  <c r="A18" i="2"/>
  <c r="A33" i="2"/>
  <c r="A31" i="2"/>
  <c r="A30" i="2"/>
  <c r="A28" i="2"/>
  <c r="A27" i="2"/>
  <c r="A26" i="2"/>
  <c r="A25" i="2"/>
  <c r="A23" i="2"/>
  <c r="A22" i="2"/>
  <c r="A21" i="2"/>
  <c r="A20" i="2"/>
  <c r="A19" i="2"/>
  <c r="A17" i="2"/>
  <c r="A16" i="2"/>
  <c r="A15" i="2"/>
  <c r="A14" i="2"/>
  <c r="A13" i="2"/>
  <c r="A10" i="2"/>
  <c r="A9" i="2"/>
  <c r="A8" i="2"/>
  <c r="A7" i="2"/>
  <c r="A5" i="2"/>
  <c r="A4" i="2"/>
  <c r="B54" i="2" l="1"/>
  <c r="C5" i="42" l="1"/>
  <c r="E54" i="2"/>
  <c r="D54" i="2"/>
  <c r="B61" i="2"/>
  <c r="D10" i="42" s="1"/>
  <c r="D6" i="42"/>
  <c r="C11" i="48"/>
  <c r="B59" i="2"/>
  <c r="C8" i="42" s="1"/>
  <c r="C11" i="42" s="1"/>
  <c r="B60" i="2"/>
  <c r="D9" i="42" s="1"/>
  <c r="G6" i="48" l="1"/>
  <c r="D61" i="2"/>
  <c r="E55" i="2"/>
  <c r="E61" i="2"/>
  <c r="C66" i="2"/>
  <c r="D67" i="2" s="1"/>
  <c r="D11" i="42"/>
  <c r="D59" i="2"/>
  <c r="D60" i="2"/>
  <c r="E60" i="2"/>
  <c r="E62" i="2" l="1"/>
  <c r="C67" i="2"/>
  <c r="J13" i="51"/>
  <c r="G13" i="51"/>
  <c r="H13" i="51"/>
  <c r="I13" i="51"/>
  <c r="E11" i="42"/>
  <c r="J20" i="51" l="1"/>
  <c r="H20" i="51"/>
  <c r="K20" i="51" s="1"/>
  <c r="G20" i="51"/>
  <c r="I20" i="51"/>
  <c r="H24" i="51"/>
  <c r="K24" i="51" s="1"/>
  <c r="J24" i="51"/>
  <c r="G24" i="51"/>
  <c r="I24" i="51"/>
  <c r="K13" i="51"/>
  <c r="L13" i="51"/>
  <c r="L20" i="51" l="1"/>
  <c r="M20" i="51" s="1"/>
  <c r="L24" i="51"/>
  <c r="M24" i="51" s="1"/>
  <c r="G15" i="51"/>
  <c r="H15" i="51"/>
  <c r="I15" i="51"/>
  <c r="J15" i="51"/>
  <c r="B20" i="48"/>
  <c r="D20" i="48"/>
  <c r="F20" i="48"/>
  <c r="M27" i="51" l="1"/>
  <c r="G27" i="51"/>
  <c r="L27" i="51"/>
  <c r="L15" i="51"/>
  <c r="K15" i="51"/>
  <c r="D55" i="2" l="1"/>
  <c r="F6" i="1"/>
  <c r="B62" i="2" l="1"/>
  <c r="B63" i="2" s="1"/>
  <c r="D62" i="2" l="1"/>
  <c r="C20" i="48"/>
  <c r="C62" i="2" l="1"/>
  <c r="H11" i="42"/>
  <c r="D15" i="1"/>
  <c r="G11" i="42" l="1"/>
  <c r="I11" i="42" s="1"/>
  <c r="N62" i="2" l="1"/>
  <c r="M4" i="2"/>
  <c r="M35" i="2" s="1"/>
  <c r="J32" i="51" l="1"/>
  <c r="I32" i="51"/>
  <c r="G32" i="51"/>
  <c r="H32" i="51"/>
  <c r="K32" i="51" l="1"/>
  <c r="L32" i="51"/>
  <c r="M32" i="51" s="1"/>
  <c r="M62" i="2"/>
  <c r="N35" i="2"/>
  <c r="L53" i="2" l="1"/>
  <c r="L35" i="2" l="1"/>
  <c r="L62" i="2" l="1"/>
  <c r="F62" i="2" l="1"/>
  <c r="E19" i="2"/>
  <c r="D19" i="2"/>
  <c r="F19" i="2"/>
  <c r="C29" i="42"/>
  <c r="D31" i="2"/>
  <c r="E31" i="2"/>
  <c r="C43" i="42"/>
  <c r="D10" i="2"/>
  <c r="C20" i="42"/>
  <c r="C31" i="42"/>
  <c r="E21" i="2"/>
  <c r="D21" i="2"/>
  <c r="D17" i="2"/>
  <c r="C27" i="42"/>
  <c r="C41" i="42"/>
  <c r="D29" i="2"/>
  <c r="H5" i="1"/>
  <c r="I53" i="3"/>
  <c r="D22" i="53"/>
  <c r="E22" i="53"/>
  <c r="D23" i="2"/>
  <c r="E23" i="2"/>
  <c r="C33" i="42"/>
  <c r="F20" i="53"/>
  <c r="D20" i="53"/>
  <c r="E20" i="53"/>
  <c r="D30" i="2"/>
  <c r="C42" i="42"/>
  <c r="E30" i="2"/>
  <c r="B52" i="2"/>
  <c r="B51" i="2"/>
  <c r="C51" i="2"/>
  <c r="D22" i="2"/>
  <c r="E22" i="2"/>
  <c r="C32" i="42"/>
  <c r="D24" i="53"/>
  <c r="E24" i="53"/>
  <c r="C28" i="42"/>
  <c r="D18" i="2"/>
  <c r="B23" i="2"/>
  <c r="AF53" i="3"/>
  <c r="B24" i="53"/>
  <c r="B19" i="2"/>
  <c r="B10" i="2"/>
  <c r="D34" i="53"/>
  <c r="I6" i="2"/>
  <c r="I51" i="2"/>
  <c r="D5" i="53"/>
  <c r="C30" i="42"/>
  <c r="D20" i="2"/>
  <c r="E20" i="2"/>
  <c r="D8" i="2"/>
  <c r="I8" i="2"/>
  <c r="C18" i="42"/>
  <c r="B20" i="2"/>
  <c r="C16" i="42"/>
  <c r="B35" i="2"/>
  <c r="L53" i="3"/>
  <c r="D7" i="53"/>
  <c r="E7" i="53"/>
  <c r="D6" i="2"/>
  <c r="D19" i="53"/>
  <c r="B17" i="2"/>
  <c r="C23" i="42"/>
  <c r="B34" i="53"/>
  <c r="D6" i="53"/>
  <c r="E28" i="48"/>
  <c r="C24" i="42"/>
  <c r="B18" i="2"/>
  <c r="Z53" i="3"/>
  <c r="B19" i="53"/>
  <c r="B22" i="2"/>
  <c r="B29" i="2"/>
  <c r="G10" i="48"/>
  <c r="F65" i="53"/>
  <c r="E46" i="42"/>
  <c r="B31" i="2"/>
  <c r="C25" i="42"/>
  <c r="D15" i="53"/>
  <c r="B6" i="2"/>
  <c r="Y53" i="3"/>
  <c r="B6" i="53"/>
  <c r="B28" i="53"/>
  <c r="D28" i="53"/>
  <c r="D29" i="53"/>
  <c r="B12" i="53"/>
  <c r="D12" i="53"/>
  <c r="E32" i="53"/>
  <c r="D32" i="53"/>
  <c r="E10" i="48"/>
  <c r="B29" i="53"/>
  <c r="C21" i="42"/>
  <c r="E7" i="2"/>
  <c r="C17" i="42"/>
  <c r="C26" i="42"/>
  <c r="B16" i="2"/>
  <c r="D16" i="2"/>
  <c r="D28" i="2"/>
  <c r="J6" i="1"/>
  <c r="AB53" i="3"/>
  <c r="B20" i="53"/>
  <c r="I20" i="53"/>
  <c r="J20" i="53"/>
  <c r="E23" i="53"/>
  <c r="AE53" i="3"/>
  <c r="B23" i="53"/>
  <c r="D23" i="53"/>
  <c r="C15" i="42"/>
  <c r="C46" i="42"/>
  <c r="B30" i="2"/>
  <c r="B21" i="2"/>
  <c r="B22" i="53"/>
  <c r="AD53" i="3"/>
  <c r="C37" i="42"/>
  <c r="AI53" i="3"/>
  <c r="B27" i="2"/>
  <c r="D27" i="2"/>
  <c r="D5" i="2"/>
  <c r="I5" i="2"/>
  <c r="B52" i="53"/>
  <c r="B36" i="53"/>
  <c r="C52" i="53"/>
  <c r="B10" i="53"/>
  <c r="D10" i="53"/>
  <c r="B8" i="2"/>
  <c r="D35" i="2"/>
  <c r="D52" i="2"/>
  <c r="X53" i="3"/>
  <c r="B18" i="53"/>
  <c r="D18" i="53"/>
  <c r="W53" i="3"/>
  <c r="B17" i="53"/>
  <c r="D17" i="53"/>
  <c r="T53" i="3"/>
  <c r="B11" i="2"/>
  <c r="D11" i="2"/>
  <c r="I11" i="2"/>
  <c r="C44" i="42"/>
  <c r="AO53" i="3"/>
  <c r="B33" i="2"/>
  <c r="D33" i="2"/>
  <c r="D14" i="2"/>
  <c r="I14" i="2"/>
  <c r="C19" i="42"/>
  <c r="F26" i="48"/>
  <c r="H4" i="1"/>
  <c r="H6" i="1"/>
  <c r="B15" i="2"/>
  <c r="D15" i="2"/>
  <c r="I15" i="2"/>
  <c r="J60" i="53"/>
  <c r="J63" i="53"/>
  <c r="G20" i="48"/>
  <c r="H20" i="48"/>
  <c r="E5" i="53"/>
  <c r="E36" i="53"/>
  <c r="E52" i="53"/>
  <c r="B4" i="53"/>
  <c r="D4" i="53"/>
  <c r="D36" i="53"/>
  <c r="B27" i="53"/>
  <c r="D27" i="53"/>
  <c r="B26" i="53"/>
  <c r="D26" i="53"/>
  <c r="B14" i="53"/>
  <c r="D14" i="53"/>
  <c r="AM53" i="3"/>
  <c r="B32" i="53"/>
  <c r="I32" i="53"/>
  <c r="J32" i="53"/>
  <c r="B15" i="53"/>
  <c r="AC53" i="3"/>
  <c r="B14" i="2"/>
  <c r="E31" i="53"/>
  <c r="AL53" i="3"/>
  <c r="B31" i="53"/>
  <c r="D31" i="53"/>
  <c r="J21" i="53"/>
  <c r="D17" i="1"/>
  <c r="I20" i="48"/>
  <c r="E15" i="48"/>
  <c r="G15" i="48"/>
  <c r="C35" i="42"/>
  <c r="AG53" i="3"/>
  <c r="B25" i="2"/>
  <c r="D25" i="2"/>
  <c r="D11" i="1"/>
  <c r="D16" i="1"/>
  <c r="C36" i="42"/>
  <c r="AH53" i="3"/>
  <c r="B26" i="2"/>
  <c r="D26" i="2"/>
  <c r="D21" i="53"/>
  <c r="E21" i="53"/>
  <c r="AA53" i="3"/>
  <c r="B21" i="53"/>
  <c r="I21" i="53"/>
  <c r="U53" i="3"/>
  <c r="B13" i="2"/>
  <c r="D13" i="2"/>
  <c r="I13" i="2"/>
  <c r="I7" i="53"/>
  <c r="J7" i="53"/>
  <c r="I36" i="53"/>
  <c r="I60" i="53"/>
  <c r="I63" i="53"/>
  <c r="H67" i="53"/>
  <c r="H68" i="53"/>
  <c r="C45" i="42"/>
  <c r="C11" i="1"/>
  <c r="F24" i="48"/>
  <c r="H24" i="48"/>
  <c r="H26" i="48"/>
  <c r="B32" i="2"/>
  <c r="D32" i="2"/>
  <c r="F64" i="2"/>
  <c r="D7" i="2"/>
  <c r="I7" i="2"/>
  <c r="B12" i="2"/>
  <c r="D12" i="2"/>
  <c r="R53" i="3"/>
  <c r="B9" i="2"/>
  <c r="D9" i="2"/>
  <c r="I9" i="2"/>
  <c r="AK53" i="3"/>
  <c r="B30" i="53"/>
  <c r="D30" i="53"/>
  <c r="B7" i="2"/>
  <c r="F7" i="2"/>
  <c r="F35" i="2"/>
  <c r="Q53" i="3"/>
  <c r="B8" i="53"/>
  <c r="D8" i="53"/>
  <c r="V53" i="3"/>
  <c r="B16" i="53"/>
  <c r="D16" i="53"/>
  <c r="AN53" i="3"/>
  <c r="B33" i="53"/>
  <c r="D33" i="53"/>
  <c r="B34" i="2"/>
  <c r="D34" i="2"/>
  <c r="E34" i="2"/>
  <c r="O53" i="3"/>
  <c r="B13" i="53"/>
  <c r="D13" i="53"/>
  <c r="B4" i="2"/>
  <c r="D4" i="2"/>
  <c r="I4" i="2"/>
  <c r="I35" i="2"/>
  <c r="I12" i="48"/>
  <c r="E20" i="48"/>
  <c r="M53" i="3"/>
  <c r="E5" i="48"/>
  <c r="G5" i="48"/>
  <c r="B5" i="53"/>
  <c r="I5" i="53"/>
  <c r="J5" i="53"/>
  <c r="J36" i="53"/>
  <c r="E35" i="53"/>
  <c r="S53" i="3"/>
  <c r="B11" i="53"/>
  <c r="D11" i="53"/>
  <c r="N53" i="3"/>
  <c r="B5" i="2"/>
  <c r="E5" i="2"/>
  <c r="E35" i="2"/>
  <c r="E51" i="2"/>
  <c r="P53" i="3"/>
  <c r="B7" i="53"/>
  <c r="F7" i="53"/>
  <c r="F36" i="53"/>
  <c r="AJ53" i="3"/>
  <c r="B28" i="2"/>
  <c r="D40" i="42"/>
  <c r="D46" i="42"/>
  <c r="K53" i="3"/>
  <c r="B35" i="53"/>
  <c r="D35" i="53"/>
  <c r="J53" i="3"/>
  <c r="E11" i="48"/>
  <c r="G11" i="48"/>
  <c r="I11" i="48"/>
</calcChain>
</file>

<file path=xl/sharedStrings.xml><?xml version="1.0" encoding="utf-8"?>
<sst xmlns="http://schemas.openxmlformats.org/spreadsheetml/2006/main" count="913" uniqueCount="428">
  <si>
    <t>Insurance</t>
  </si>
  <si>
    <t>Audit</t>
  </si>
  <si>
    <t>Training</t>
  </si>
  <si>
    <t>Buxhall Broadcast</t>
  </si>
  <si>
    <t>Precept</t>
  </si>
  <si>
    <t>RECIEPTS</t>
  </si>
  <si>
    <t>Power</t>
  </si>
  <si>
    <t>Misc</t>
  </si>
  <si>
    <t xml:space="preserve"> </t>
  </si>
  <si>
    <t>Interest</t>
  </si>
  <si>
    <t>£</t>
  </si>
  <si>
    <t>Payments</t>
  </si>
  <si>
    <t>Election</t>
  </si>
  <si>
    <t>VAT expenditure</t>
  </si>
  <si>
    <t>Miscellaneous</t>
  </si>
  <si>
    <t>Receipts</t>
  </si>
  <si>
    <t>Minute Ref</t>
  </si>
  <si>
    <t>Gross</t>
  </si>
  <si>
    <t>VAT</t>
  </si>
  <si>
    <t>Net</t>
  </si>
  <si>
    <t>Total Receipt</t>
  </si>
  <si>
    <t xml:space="preserve">  </t>
  </si>
  <si>
    <t>Total Payments</t>
  </si>
  <si>
    <t>Total Receipts</t>
  </si>
  <si>
    <t>Notes</t>
  </si>
  <si>
    <t>Tina Newell</t>
  </si>
  <si>
    <t>MSDC</t>
  </si>
  <si>
    <t>Asset replacement</t>
  </si>
  <si>
    <t>Invoice No</t>
  </si>
  <si>
    <t>Trsf</t>
  </si>
  <si>
    <t>Subscriptions</t>
  </si>
  <si>
    <t>Opening balance</t>
  </si>
  <si>
    <t xml:space="preserve">Payments </t>
  </si>
  <si>
    <t>Balance</t>
  </si>
  <si>
    <t>Transfers</t>
  </si>
  <si>
    <t>Macbook</t>
  </si>
  <si>
    <t>Floodlight remote control</t>
  </si>
  <si>
    <t>Defibrillator pads gifted village hall</t>
  </si>
  <si>
    <t xml:space="preserve">SID - grant receipt from MSDC </t>
  </si>
  <si>
    <t xml:space="preserve">Goal Posts </t>
  </si>
  <si>
    <t xml:space="preserve">VAS Bank fee </t>
  </si>
  <si>
    <t>VAS Postage - insurance claim in receipts</t>
  </si>
  <si>
    <t>VAS Repair.- insurance claim in receipts</t>
  </si>
  <si>
    <t>Reason for Overspend in payments</t>
  </si>
  <si>
    <t>Paid for two years; last year and this year. One was funded by reserves</t>
  </si>
  <si>
    <t>:</t>
  </si>
  <si>
    <t>Grants:</t>
  </si>
  <si>
    <t>Total Income Received</t>
  </si>
  <si>
    <t>Donation</t>
  </si>
  <si>
    <t>Actual 2020/21</t>
  </si>
  <si>
    <t>Invoice date</t>
  </si>
  <si>
    <t>Payment File Ref</t>
  </si>
  <si>
    <t>VAS</t>
  </si>
  <si>
    <t>Stationery</t>
  </si>
  <si>
    <t>2021/22</t>
  </si>
  <si>
    <t>Actual 2021/22</t>
  </si>
  <si>
    <t>Total</t>
  </si>
  <si>
    <t>CIL</t>
  </si>
  <si>
    <t>Payee</t>
  </si>
  <si>
    <t>From</t>
  </si>
  <si>
    <t>HMRC</t>
  </si>
  <si>
    <t>Premium</t>
  </si>
  <si>
    <t>Virements</t>
  </si>
  <si>
    <t>Virement</t>
  </si>
  <si>
    <t>Represented by:</t>
  </si>
  <si>
    <t>Community</t>
  </si>
  <si>
    <t>2022/23</t>
  </si>
  <si>
    <t>Actual 2022/23</t>
  </si>
  <si>
    <t>Available 2022/23</t>
  </si>
  <si>
    <t>Date</t>
  </si>
  <si>
    <t>Reciept file ref</t>
  </si>
  <si>
    <t>PAYMENTS</t>
  </si>
  <si>
    <t>Clearance Date</t>
  </si>
  <si>
    <t>VAT  No</t>
  </si>
  <si>
    <t>Closing Balance</t>
  </si>
  <si>
    <t>Draft Budget 2022/23</t>
  </si>
  <si>
    <t>Draft Budget 2023/24</t>
  </si>
  <si>
    <t xml:space="preserve">Add 11% to last year  </t>
  </si>
  <si>
    <t>Current plus 11%</t>
  </si>
  <si>
    <t>Cannot budget</t>
  </si>
  <si>
    <t>Increase £</t>
  </si>
  <si>
    <t>Bins</t>
  </si>
  <si>
    <t>BVN</t>
  </si>
  <si>
    <t>CSW</t>
  </si>
  <si>
    <t xml:space="preserve">Data Protection </t>
  </si>
  <si>
    <t>Defib</t>
  </si>
  <si>
    <t>Ditch Clearing</t>
  </si>
  <si>
    <t>Geese</t>
  </si>
  <si>
    <t>Green Maintenance</t>
  </si>
  <si>
    <t>Litter Pick</t>
  </si>
  <si>
    <t>Mileage</t>
  </si>
  <si>
    <t>Office</t>
  </si>
  <si>
    <t>Play Inspection</t>
  </si>
  <si>
    <t>Salary</t>
  </si>
  <si>
    <t>Stationery C/Man</t>
  </si>
  <si>
    <t>Jubilee</t>
  </si>
  <si>
    <t>Play Equip Maint</t>
  </si>
  <si>
    <t xml:space="preserve">CIL  </t>
  </si>
  <si>
    <t xml:space="preserve">Grants </t>
  </si>
  <si>
    <t xml:space="preserve">VAT  </t>
  </si>
  <si>
    <t>Neighbourhood Plan</t>
  </si>
  <si>
    <t>Hire of Vestry</t>
  </si>
  <si>
    <t>na</t>
  </si>
  <si>
    <t>vat</t>
  </si>
  <si>
    <t>s106</t>
  </si>
  <si>
    <t>4 issues</t>
  </si>
  <si>
    <t xml:space="preserve">current plus extenal auditor </t>
  </si>
  <si>
    <t>Build up reserves</t>
  </si>
  <si>
    <t>Quarter of £1k as expected cost 4 yrly</t>
  </si>
  <si>
    <t>Based on current year (in which fuel increased)</t>
  </si>
  <si>
    <t xml:space="preserve">Two picks at £100 </t>
  </si>
  <si>
    <t>Six visits per year (not inc Council meetings)</t>
  </si>
  <si>
    <t xml:space="preserve">£6 week </t>
  </si>
  <si>
    <t>Minor repairs</t>
  </si>
  <si>
    <t>Current plus increase of 4%</t>
  </si>
  <si>
    <t>Stationery Clerk</t>
  </si>
  <si>
    <t>Ink and paper</t>
  </si>
  <si>
    <t>SALC this year plus 11%</t>
  </si>
  <si>
    <t>New speed gun (2013 current model)</t>
  </si>
  <si>
    <t>2023/24</t>
  </si>
  <si>
    <t>Tax base (number of houses by which Council tax is calculated) *</t>
  </si>
  <si>
    <t>* There are more houses paying Council tax than last year.</t>
  </si>
  <si>
    <t>Can only budget for the income you KNOW you will receive.</t>
  </si>
  <si>
    <t>10 at £25</t>
  </si>
  <si>
    <t>Ink paper stamps files etc</t>
  </si>
  <si>
    <t>New Cllr x 4 courses</t>
  </si>
  <si>
    <t>current plus 12%</t>
  </si>
  <si>
    <t>Precept per house calcuation</t>
  </si>
  <si>
    <t xml:space="preserve">Average band D Council Tax Bill for Parish Council </t>
  </si>
  <si>
    <t>Annual Holiday</t>
  </si>
  <si>
    <t>Holiday Reconciliation in hours</t>
  </si>
  <si>
    <t>Holiday left</t>
  </si>
  <si>
    <t>Predicted Year End</t>
  </si>
  <si>
    <t>Wesbite</t>
  </si>
  <si>
    <t>Account</t>
  </si>
  <si>
    <t>Estimate of cost - with Avian Flu more time inside</t>
  </si>
  <si>
    <t>Insurance assistance to Church</t>
  </si>
  <si>
    <t>Annual play inspection cost</t>
  </si>
  <si>
    <t>14 03 2023</t>
  </si>
  <si>
    <t>BEYTON PARISH COUNCIL Summary of Reciepts &amp; Payments at year ended 31 03 2023</t>
  </si>
  <si>
    <t>Payroll</t>
  </si>
  <si>
    <t>IT Costs incuding website</t>
  </si>
  <si>
    <t>Other</t>
  </si>
  <si>
    <t>Pond</t>
  </si>
  <si>
    <t>Purchase price of The Green</t>
  </si>
  <si>
    <t>Contribuion to vendors legal fees</t>
  </si>
  <si>
    <t>Contribution towards vendors agent fees</t>
  </si>
  <si>
    <t>Reserves b/f</t>
  </si>
  <si>
    <t>S106*</t>
  </si>
  <si>
    <t>Reservers c/f</t>
  </si>
  <si>
    <t xml:space="preserve">Accounted for </t>
  </si>
  <si>
    <t>Reconciliation of The Green accounts</t>
  </si>
  <si>
    <t>Funded by:</t>
  </si>
  <si>
    <t>Costs associated with the purchase:</t>
  </si>
  <si>
    <t>S106* in the reserves</t>
  </si>
  <si>
    <t>CIL** in reserves</t>
  </si>
  <si>
    <r>
      <t xml:space="preserve">* S106 currently can only be used to </t>
    </r>
    <r>
      <rPr>
        <i/>
        <sz val="12"/>
        <rFont val="Calibri"/>
        <family val="2"/>
        <scheme val="minor"/>
      </rPr>
      <t>purchase</t>
    </r>
    <r>
      <rPr>
        <sz val="12"/>
        <rFont val="Calibri"/>
        <family val="2"/>
        <scheme val="minor"/>
      </rPr>
      <t xml:space="preserve"> the green. If the PC require the money for an alternative</t>
    </r>
  </si>
  <si>
    <t>be used to fund the shortfall beween the S106 and the purchase price of The Green.</t>
  </si>
  <si>
    <t>purchsae an application must first by made and agreed by the District Council.</t>
  </si>
  <si>
    <t>**CIL cannoe be used to pay for legal expenses therefore whilst there is more CIL in the reserves it can only</t>
  </si>
  <si>
    <t>14 03 23</t>
  </si>
  <si>
    <t>BEYTON PARISH COUNCIL CIL Reconciliation</t>
  </si>
  <si>
    <t xml:space="preserve">Potential </t>
  </si>
  <si>
    <t>Due</t>
  </si>
  <si>
    <t>Planning application</t>
  </si>
  <si>
    <t>DC/22/06269</t>
  </si>
  <si>
    <t>Details</t>
  </si>
  <si>
    <t>Marl Cottage</t>
  </si>
  <si>
    <t>DC/19/01991</t>
  </si>
  <si>
    <t>DC/19/05050</t>
  </si>
  <si>
    <t>2365/16</t>
  </si>
  <si>
    <t>Land to the East of The Grange,</t>
  </si>
  <si>
    <t>DC/18/00336</t>
  </si>
  <si>
    <t>DC/22/06078</t>
  </si>
  <si>
    <t>Land To The East Of The Grange</t>
  </si>
  <si>
    <t>Spent</t>
  </si>
  <si>
    <t>2638/16</t>
  </si>
  <si>
    <t xml:space="preserve">Land Adjacent To The Laurels formerlly Land adjacent </t>
  </si>
  <si>
    <t>Collected/due to be paid to PC</t>
  </si>
  <si>
    <t>Nursery House, Tostock Road*</t>
  </si>
  <si>
    <t>*</t>
  </si>
  <si>
    <t>Demand notice for whole amount. Site commenced first installment wasn’t paid - may agree an installment plan which mean statutory late inerest will be applied</t>
  </si>
  <si>
    <t>now 1 Orsler Close, Beyton Land adjacent to guerdon cottage **</t>
  </si>
  <si>
    <t>**</t>
  </si>
  <si>
    <t>Company is paying in drips NOT agreed by MSDC. Legal involved</t>
  </si>
  <si>
    <t>DC/22/00663</t>
  </si>
  <si>
    <t>Nursery House, Tostock Road ***</t>
  </si>
  <si>
    <t>***</t>
  </si>
  <si>
    <t>Installmenrt plan due 18 04 2023</t>
  </si>
  <si>
    <t>Available/ what wil be paid to PC in April</t>
  </si>
  <si>
    <t>Land Adjacent Fieldgate, Church Road,</t>
  </si>
  <si>
    <t xml:space="preserve">Allocated/already paid to PC 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</si>
  <si>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</si>
  <si>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</si>
  <si>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</si>
  <si>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r>
      <t xml:space="preserve">Insert figures from Section 2 of the AGAR in all </t>
    </r>
    <r>
      <rPr>
        <b/>
        <u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</si>
  <si>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 onwards: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</si>
  <si>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Variance</t>
  </si>
  <si>
    <t>Explanation Required?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</si>
  <si>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</si>
  <si>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r>
      <t xml:space="preserve">Explanation from smaller authority </t>
    </r>
    <r>
      <rPr>
        <b/>
        <u/>
        <sz val="11"/>
        <color indexed="8"/>
        <rFont val="Arial"/>
        <family val="2"/>
      </rPr>
      <t>(must include narrative and supporting figures)</t>
    </r>
  </si>
  <si>
    <t>%</t>
  </si>
  <si>
    <t>1 Balances Brought Forward</t>
  </si>
  <si>
    <t>2 Precept or Rates and Levies</t>
  </si>
  <si>
    <t>3 Total Other Receipts</t>
  </si>
  <si>
    <t>4 Staff Costs</t>
  </si>
  <si>
    <t>5 Loan Interest/Capital Repayment</t>
  </si>
  <si>
    <t>6 All Other Payments</t>
  </si>
  <si>
    <t>7 Balances Carried Forward</t>
  </si>
  <si>
    <t>VARIANCE EXPLANATION NOT REQUIRED</t>
  </si>
  <si>
    <t>8 Total Cash and Short Term Investments</t>
  </si>
  <si>
    <t>9 Total Fixed Assets plus Other Long Term Investments and Assets</t>
  </si>
  <si>
    <t>10 Total Borrowings</t>
  </si>
  <si>
    <t>Rounding errors of up to £2 are tolerable</t>
  </si>
  <si>
    <t>Variances of £200 or less are tolerable</t>
  </si>
  <si>
    <t>BOX 10 VARIANCE EXPLANATION NOT REQUIRED IF CHANGE CAN BE EXPLAINED BY BOX 5 (CAPITAL PLUS INTEREST PAYMENT)</t>
  </si>
  <si>
    <t>The Pecept was increased by £6,564 due to projects identified 110122/34</t>
  </si>
  <si>
    <t xml:space="preserve">There was a receipt from the District Council for £14,590 towards the purchase of the Village Green. </t>
  </si>
  <si>
    <t>There was £363 more VAT refund received in 2022/23 than in 2021/22</t>
  </si>
  <si>
    <t>There was no grant for Neighbourhood Plan in 2022/3; £1,200 was received in 2021/22</t>
  </si>
  <si>
    <t>The Council received an extra £60 in grant funding in 2022/23.</t>
  </si>
  <si>
    <t>The reserves include £39,943 of ringfenced reserves</t>
  </si>
  <si>
    <t>Actual 2023/24</t>
  </si>
  <si>
    <t>Available 2023/24</t>
  </si>
  <si>
    <t>Beyton PCC</t>
  </si>
  <si>
    <t>04 04 23</t>
  </si>
  <si>
    <t>11 04 23</t>
  </si>
  <si>
    <t>17 04 23</t>
  </si>
  <si>
    <t>13 04 23</t>
  </si>
  <si>
    <t>Viking Payments</t>
  </si>
  <si>
    <t>27 03 23</t>
  </si>
  <si>
    <t>Helena Harris</t>
  </si>
  <si>
    <t>Westcotec</t>
  </si>
  <si>
    <t>31 03 23</t>
  </si>
  <si>
    <t>Tristar Media</t>
  </si>
  <si>
    <t>Jubilee/Coronation</t>
  </si>
  <si>
    <t>22 03 23</t>
  </si>
  <si>
    <t>Unipar Services</t>
  </si>
  <si>
    <t>01 02 23</t>
  </si>
  <si>
    <t>17 03 23</t>
  </si>
  <si>
    <t>no number!</t>
  </si>
  <si>
    <t>Suffolk.Cloud</t>
  </si>
  <si>
    <t xml:space="preserve">Gadd Brothers </t>
  </si>
  <si>
    <t>SALC</t>
  </si>
  <si>
    <t>01 04 23</t>
  </si>
  <si>
    <t>110423/21</t>
  </si>
  <si>
    <t>110423/26</t>
  </si>
  <si>
    <t>110423/25</t>
  </si>
  <si>
    <t>110423/24</t>
  </si>
  <si>
    <t>110423/23</t>
  </si>
  <si>
    <t>110423/22</t>
  </si>
  <si>
    <t>110423/28</t>
  </si>
  <si>
    <t>110423/27</t>
  </si>
  <si>
    <t>110423/30</t>
  </si>
  <si>
    <t>110423/29</t>
  </si>
  <si>
    <t>Holiday c/f</t>
  </si>
  <si>
    <t>30 04 23</t>
  </si>
  <si>
    <t>Reimbursements</t>
  </si>
  <si>
    <t>Holiday taken in the period</t>
  </si>
  <si>
    <t>Receipts in year</t>
  </si>
  <si>
    <t>Payments in year</t>
  </si>
  <si>
    <t xml:space="preserve">Cash Book   </t>
  </si>
  <si>
    <r>
      <t xml:space="preserve">Add </t>
    </r>
    <r>
      <rPr>
        <b/>
        <sz val="12"/>
        <color theme="1"/>
        <rFont val="Calibri Light"/>
        <family val="2"/>
      </rPr>
      <t>Receipts</t>
    </r>
    <r>
      <rPr>
        <sz val="12"/>
        <color theme="1"/>
        <rFont val="Calibri Light"/>
        <family val="2"/>
      </rPr>
      <t xml:space="preserve"> in year:</t>
    </r>
  </si>
  <si>
    <t>Beyton Parish Council Bank Reconciliation Year Ended 31 03 2024</t>
  </si>
  <si>
    <t>Beyton Parish Council Current Account Expenses and Income against Budget 2023/24</t>
  </si>
  <si>
    <t>Beyton Parish Council Reserves as at year ended 31 03 2024</t>
  </si>
  <si>
    <t xml:space="preserve">Mileage: </t>
  </si>
  <si>
    <t xml:space="preserve">Asset Replacement Reserve </t>
  </si>
  <si>
    <t xml:space="preserve">CIL </t>
  </si>
  <si>
    <t xml:space="preserve">Community Speedwatch </t>
  </si>
  <si>
    <t xml:space="preserve">Coronation </t>
  </si>
  <si>
    <t xml:space="preserve">Defb </t>
  </si>
  <si>
    <t xml:space="preserve">Election Reserve </t>
  </si>
  <si>
    <t xml:space="preserve">General Reserve </t>
  </si>
  <si>
    <t xml:space="preserve">Jubillee </t>
  </si>
  <si>
    <t xml:space="preserve">Office reimbursements </t>
  </si>
  <si>
    <t xml:space="preserve">Play equipment maintenance </t>
  </si>
  <si>
    <t xml:space="preserve">Pond project </t>
  </si>
  <si>
    <t xml:space="preserve">Staff Salary </t>
  </si>
  <si>
    <t xml:space="preserve">Stationery </t>
  </si>
  <si>
    <t xml:space="preserve">Village Green </t>
  </si>
  <si>
    <t>Date/Detail</t>
  </si>
  <si>
    <t>Community account</t>
  </si>
  <si>
    <t>Payments b/f</t>
  </si>
  <si>
    <t>LGA 1972 Section 151. PHA 1936 section 260 s111 &amp; s142 LGA 1072</t>
  </si>
  <si>
    <t>14 02 23</t>
  </si>
  <si>
    <t>Ticehurst Gravel</t>
  </si>
  <si>
    <t>24 04 23</t>
  </si>
  <si>
    <t>25 04 23</t>
  </si>
  <si>
    <t>59075 &amp; 58598</t>
  </si>
  <si>
    <t>Precision Marketing Group Ltd</t>
  </si>
  <si>
    <t>Graham Jones</t>
  </si>
  <si>
    <t>white horse</t>
  </si>
  <si>
    <t>Trevor Brown</t>
  </si>
  <si>
    <t>01 2003</t>
  </si>
  <si>
    <t>S111</t>
  </si>
  <si>
    <t>Budget 2023/24</t>
  </si>
  <si>
    <t>s.111 &amp; s.142 LGA 1972 </t>
  </si>
  <si>
    <t>s.10(b), Open Spaces Act 1906</t>
  </si>
  <si>
    <t>S137</t>
  </si>
  <si>
    <t>10 05 23</t>
  </si>
  <si>
    <t xml:space="preserve">Premium </t>
  </si>
  <si>
    <t>427 9127 37</t>
  </si>
  <si>
    <t>759 6535 77</t>
  </si>
  <si>
    <t>104 1694 01</t>
  </si>
  <si>
    <t>02 05 23</t>
  </si>
  <si>
    <t>2/162472</t>
  </si>
  <si>
    <t>22 05 23</t>
  </si>
  <si>
    <t>Thurston Community College</t>
  </si>
  <si>
    <t>BEYTON PARISH COUNCIL Current Account Year Ended 31 03 2024</t>
  </si>
  <si>
    <t>Tina Newell  (from 20 03 23)</t>
  </si>
  <si>
    <r>
      <t xml:space="preserve">Less </t>
    </r>
    <r>
      <rPr>
        <b/>
        <sz val="12"/>
        <color theme="1"/>
        <rFont val="Calibri Light"/>
        <family val="2"/>
      </rPr>
      <t xml:space="preserve">payments </t>
    </r>
    <r>
      <rPr>
        <sz val="12"/>
        <color theme="1"/>
        <rFont val="Calibri Light"/>
        <family val="2"/>
      </rPr>
      <t xml:space="preserve"> in year: Community</t>
    </r>
  </si>
  <si>
    <t>Email</t>
  </si>
  <si>
    <t>Beyton Parish Council  Clerk reconciliation 31 03 24</t>
  </si>
  <si>
    <t>Gudgeons &amp; Prentice</t>
  </si>
  <si>
    <t>Community Action Suffolk</t>
  </si>
  <si>
    <t xml:space="preserve">2023-24 ACY023 </t>
  </si>
  <si>
    <t>21 06 23</t>
  </si>
  <si>
    <t>Freethought</t>
  </si>
  <si>
    <t>BVA - Environmental work</t>
  </si>
  <si>
    <t>T C Forrestry &amp; Fencing</t>
  </si>
  <si>
    <t>22 06 23</t>
  </si>
  <si>
    <t>24 06 23</t>
  </si>
  <si>
    <t>30 06 23</t>
  </si>
  <si>
    <t>12 05 23</t>
  </si>
  <si>
    <t>Community Heartbeat</t>
  </si>
  <si>
    <t xml:space="preserve">ICO </t>
  </si>
  <si>
    <t>090523/21</t>
  </si>
  <si>
    <t>090523/20</t>
  </si>
  <si>
    <t>090523/23</t>
  </si>
  <si>
    <t>090523/22</t>
  </si>
  <si>
    <t>090523/24</t>
  </si>
  <si>
    <t>060623/22</t>
  </si>
  <si>
    <t>060623/23</t>
  </si>
  <si>
    <t>060623/24</t>
  </si>
  <si>
    <t>040723/26</t>
  </si>
  <si>
    <t>040723/28</t>
  </si>
  <si>
    <t>040723/29</t>
  </si>
  <si>
    <t>040723/30</t>
  </si>
  <si>
    <t>040723/31</t>
  </si>
  <si>
    <t>040723/32</t>
  </si>
  <si>
    <t>047323/33</t>
  </si>
  <si>
    <r>
      <t xml:space="preserve">Cash book Account balances b/f as at 01 04 2023: </t>
    </r>
    <r>
      <rPr>
        <b/>
        <sz val="12"/>
        <color theme="1"/>
        <rFont val="Calibri Light"/>
        <family val="2"/>
      </rPr>
      <t>Community</t>
    </r>
  </si>
  <si>
    <r>
      <t xml:space="preserve">b/f </t>
    </r>
    <r>
      <rPr>
        <b/>
        <sz val="12"/>
        <color theme="1"/>
        <rFont val="Calibri Light"/>
        <family val="2"/>
      </rPr>
      <t>Premium</t>
    </r>
  </si>
  <si>
    <r>
      <rPr>
        <b/>
        <sz val="12"/>
        <color theme="1"/>
        <rFont val="Calibri Light"/>
        <family val="2"/>
      </rPr>
      <t>Premium</t>
    </r>
    <r>
      <rPr>
        <sz val="12"/>
        <color theme="1"/>
        <rFont val="Calibri Light"/>
        <family val="2"/>
      </rPr>
      <t>:  Interest: 05 06 23</t>
    </r>
  </si>
  <si>
    <r>
      <t xml:space="preserve">Add unpresented payments </t>
    </r>
    <r>
      <rPr>
        <b/>
        <sz val="12"/>
        <color theme="1"/>
        <rFont val="Calibri Light"/>
        <family val="2"/>
      </rPr>
      <t>Community</t>
    </r>
  </si>
  <si>
    <t>29 08 23</t>
  </si>
  <si>
    <t>Grant</t>
  </si>
  <si>
    <t>bank s.ment</t>
  </si>
  <si>
    <t>S106 - Village Green</t>
  </si>
  <si>
    <t>Premium account</t>
  </si>
  <si>
    <t>BVA</t>
  </si>
  <si>
    <t>BEG</t>
  </si>
  <si>
    <t>The Green</t>
  </si>
  <si>
    <t>PKF Little John</t>
  </si>
  <si>
    <t>19 07 23</t>
  </si>
  <si>
    <t>21 07 23</t>
  </si>
  <si>
    <t>11 09 23</t>
  </si>
  <si>
    <t>Interest 04 09 23</t>
  </si>
  <si>
    <t>050923/25</t>
  </si>
  <si>
    <t>050923/26</t>
  </si>
  <si>
    <t>050923/27</t>
  </si>
  <si>
    <t>050923/23</t>
  </si>
  <si>
    <t>050923/24</t>
  </si>
  <si>
    <t>A New Creation</t>
  </si>
  <si>
    <t>16 10 23</t>
  </si>
  <si>
    <t>440 4982 50</t>
  </si>
  <si>
    <t>28 07 23</t>
  </si>
  <si>
    <t>SB20230322</t>
  </si>
  <si>
    <t>08 11 2022</t>
  </si>
  <si>
    <t>187 5510 82</t>
  </si>
  <si>
    <t>02 11 2022</t>
  </si>
  <si>
    <t>07. 06 23</t>
  </si>
  <si>
    <t>w/c 16 10 23</t>
  </si>
  <si>
    <t>w/c 23 10 23</t>
  </si>
  <si>
    <t>w/c 30 10 23</t>
  </si>
  <si>
    <t>w/c 06 11 23</t>
  </si>
  <si>
    <t>Laptop repair - Istore</t>
  </si>
  <si>
    <t>23 10 23</t>
  </si>
  <si>
    <t>12 10 23</t>
  </si>
  <si>
    <t>Postage</t>
  </si>
  <si>
    <t>31 08 23</t>
  </si>
  <si>
    <t>2/172981</t>
  </si>
  <si>
    <t>536 153357</t>
  </si>
  <si>
    <t>01 10 23</t>
  </si>
  <si>
    <t>14204 / 2314</t>
  </si>
  <si>
    <t>720 3201 02</t>
  </si>
  <si>
    <t>13 06 23</t>
  </si>
  <si>
    <t>05 10 23</t>
  </si>
  <si>
    <t>001/0307</t>
  </si>
  <si>
    <t>102 6451 14</t>
  </si>
  <si>
    <t>05 07 23</t>
  </si>
  <si>
    <t>06 09 23</t>
  </si>
  <si>
    <t xml:space="preserve">Proposed Budget </t>
  </si>
  <si>
    <t>Difference 'tween this year and next</t>
  </si>
  <si>
    <t>Transfer</t>
  </si>
  <si>
    <t>Transfer from accounts</t>
  </si>
  <si>
    <t>01 11 23</t>
  </si>
  <si>
    <t>101023/19</t>
  </si>
  <si>
    <t>Fees</t>
  </si>
  <si>
    <t>VAT £</t>
  </si>
  <si>
    <t>Gross £</t>
  </si>
  <si>
    <t>BACS</t>
  </si>
  <si>
    <t>Land registry search</t>
  </si>
  <si>
    <t>Land registry fee</t>
  </si>
  <si>
    <t>Purchase price</t>
  </si>
  <si>
    <t>Searches</t>
  </si>
  <si>
    <t>Sellers legal fees</t>
  </si>
  <si>
    <t>reduced</t>
  </si>
  <si>
    <t>Interim legal fees</t>
  </si>
  <si>
    <t>identity check</t>
  </si>
  <si>
    <t>Gudgeons Prentice Reconciliation</t>
  </si>
  <si>
    <t>Account balances as at 01 11 23</t>
  </si>
  <si>
    <t>ie more income than budget</t>
  </si>
  <si>
    <r>
      <t>Predicted year end</t>
    </r>
    <r>
      <rPr>
        <b/>
        <sz val="12"/>
        <color rgb="FFFF0000"/>
        <rFont val="Calibri (Body)_x0000_"/>
      </rPr>
      <t xml:space="preserve"> Available</t>
    </r>
  </si>
  <si>
    <t>red text = Prarish Council cost</t>
  </si>
  <si>
    <t>2024/25</t>
  </si>
  <si>
    <t>Printer</t>
  </si>
  <si>
    <t>less Income Tax</t>
  </si>
  <si>
    <t>101023/27</t>
  </si>
  <si>
    <t>101023/29</t>
  </si>
  <si>
    <t>101023/30</t>
  </si>
  <si>
    <t>101023/31</t>
  </si>
  <si>
    <t>101023/26</t>
  </si>
  <si>
    <t>101023/32</t>
  </si>
  <si>
    <t>101023/28</t>
  </si>
  <si>
    <t>TC Forrestry &amp; Fencing</t>
  </si>
  <si>
    <t>no inv yet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</si>
</sst>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_-* #,##0.00_-;\-* #,##0.00_-;_-* &quot;-&quot;??_-;_-@_-"/>
    <numFmt numFmtId="165" formatCode="&quot;£&quot;#,##0.00"/>
    <numFmt numFmtId="166" formatCode="_-* #,##0.000_-;\-* #,##0.000_-;_-* &quot;-&quot;??_-;_-@_-"/>
    <numFmt numFmtId="167" formatCode="_-* #,##0.0000_-;\-* #,##0.0000_-;_-* &quot;-&quot;??_-;_-@_-"/>
  </numFmts>
  <fonts count="80">
    <font>
      <sz val="10"/>
      <name val="Arial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8"/>
      <name val="Arial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  <scheme val="minor"/>
    </font>
    <font>
      <sz val="12"/>
      <color theme="1"/>
      <name val="Calibri Light"/>
      <family val="2"/>
    </font>
    <font>
      <sz val="12"/>
      <color rgb="FFFF0000"/>
      <name val="Calibri Light"/>
      <family val="2"/>
    </font>
    <font>
      <b/>
      <u/>
      <sz val="12"/>
      <color theme="1"/>
      <name val="Calibri Light"/>
      <family val="2"/>
    </font>
    <font>
      <b/>
      <sz val="12"/>
      <color theme="1"/>
      <name val="Calibri Light"/>
      <family val="2"/>
    </font>
    <font>
      <sz val="12"/>
      <name val="Calibri Light"/>
      <family val="2"/>
    </font>
    <font>
      <b/>
      <sz val="12"/>
      <name val="Calibri Light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0"/>
      <name val="Calibri Light"/>
      <family val="2"/>
    </font>
    <font>
      <i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name val="Arial"/>
      <family val="2"/>
    </font>
    <font>
      <sz val="10"/>
      <name val="Calibri Light"/>
      <family val="2"/>
    </font>
    <font>
      <sz val="11"/>
      <color rgb="FF212529"/>
      <name val="Calibri Light"/>
      <family val="2"/>
    </font>
    <font>
      <sz val="11"/>
      <name val="Calibri Light"/>
      <family val="2"/>
    </font>
    <font>
      <b/>
      <sz val="11"/>
      <name val="Calibri Light"/>
      <family val="2"/>
    </font>
    <font>
      <b/>
      <sz val="14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indexed="8"/>
      <name val="Arial"/>
      <family val="2"/>
    </font>
    <font>
      <b/>
      <sz val="10"/>
      <color indexed="10"/>
      <name val="Arial"/>
      <family val="2"/>
    </font>
    <font>
      <b/>
      <u/>
      <sz val="10"/>
      <color indexed="62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theme="1"/>
      <name val="Symbol"/>
      <family val="1"/>
      <charset val="2"/>
    </font>
    <font>
      <b/>
      <sz val="11"/>
      <color theme="1"/>
      <name val="Arial"/>
      <family val="2"/>
    </font>
    <font>
      <b/>
      <sz val="11"/>
      <color indexed="8"/>
      <name val="Arial"/>
      <family val="2"/>
    </font>
    <font>
      <b/>
      <u/>
      <sz val="11"/>
      <color indexed="8"/>
      <name val="Arial"/>
      <family val="2"/>
    </font>
    <font>
      <b/>
      <sz val="11"/>
      <color rgb="FFFF0000"/>
      <name val="Arial"/>
      <family val="2"/>
    </font>
    <font>
      <sz val="14"/>
      <color theme="1"/>
      <name val="Calibri Light"/>
      <family val="2"/>
    </font>
    <font>
      <sz val="12"/>
      <color theme="1"/>
      <name val="Calibri (Body)"/>
    </font>
    <font>
      <sz val="11"/>
      <color theme="1"/>
      <name val="Calibri (Body)"/>
    </font>
    <font>
      <b/>
      <sz val="11"/>
      <color rgb="FFFF0000"/>
      <name val="Calibri (Body)"/>
    </font>
    <font>
      <sz val="10"/>
      <color rgb="FFFF0000"/>
      <name val="Calibri Light"/>
      <family val="2"/>
    </font>
    <font>
      <b/>
      <sz val="12"/>
      <color rgb="FFFF0000"/>
      <name val="Calibri"/>
      <family val="2"/>
      <scheme val="minor"/>
    </font>
    <font>
      <sz val="11"/>
      <color theme="1"/>
      <name val="ArialMT"/>
    </font>
    <font>
      <b/>
      <i/>
      <sz val="12"/>
      <name val="Calibri Light"/>
      <family val="2"/>
    </font>
    <font>
      <b/>
      <i/>
      <sz val="12"/>
      <color theme="1"/>
      <name val="Calibri Light"/>
      <family val="2"/>
    </font>
    <font>
      <b/>
      <sz val="12"/>
      <color theme="1"/>
      <name val="Calibri (Body)"/>
    </font>
    <font>
      <b/>
      <i/>
      <sz val="12"/>
      <color rgb="FFFF0000"/>
      <name val="Calibri Light"/>
      <family val="2"/>
    </font>
    <font>
      <sz val="12"/>
      <color rgb="FF000000"/>
      <name val="Calibri"/>
      <family val="2"/>
    </font>
    <font>
      <b/>
      <sz val="14"/>
      <color rgb="FFFF0000"/>
      <name val="Calibri"/>
      <family val="2"/>
    </font>
    <font>
      <sz val="14"/>
      <color rgb="FFFF0000"/>
      <name val="Arial"/>
      <family val="2"/>
    </font>
    <font>
      <b/>
      <sz val="12"/>
      <color rgb="FFFF0000"/>
      <name val="Calibri Light"/>
      <family val="2"/>
    </font>
    <font>
      <sz val="12"/>
      <color theme="0"/>
      <name val="Calibri"/>
      <family val="2"/>
      <scheme val="minor"/>
    </font>
    <font>
      <b/>
      <sz val="12"/>
      <color rgb="FFFF0000"/>
      <name val="Calibri (Body)_x0000_"/>
    </font>
  </fonts>
  <fills count="1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 style="double">
        <color auto="1"/>
      </bottom>
      <diagonal/>
    </border>
  </borders>
  <cellStyleXfs count="29">
    <xf numFmtId="0" fontId="0" fillId="0" borderId="0"/>
    <xf numFmtId="164" fontId="2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2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8" fillId="0" borderId="0"/>
  </cellStyleXfs>
  <cellXfs count="554">
    <xf numFmtId="0" fontId="0" fillId="0" borderId="0" xfId="0"/>
    <xf numFmtId="0" fontId="24" fillId="0" borderId="0" xfId="0" applyFont="1"/>
    <xf numFmtId="0" fontId="23" fillId="0" borderId="0" xfId="0" applyFont="1"/>
    <xf numFmtId="0" fontId="25" fillId="0" borderId="0" xfId="0" applyFont="1"/>
    <xf numFmtId="0" fontId="28" fillId="0" borderId="0" xfId="0" applyFont="1"/>
    <xf numFmtId="0" fontId="29" fillId="0" borderId="0" xfId="0" applyFont="1"/>
    <xf numFmtId="164" fontId="24" fillId="0" borderId="0" xfId="1" applyFont="1"/>
    <xf numFmtId="0" fontId="28" fillId="0" borderId="0" xfId="0" applyFont="1" applyAlignment="1">
      <alignment horizontal="center"/>
    </xf>
    <xf numFmtId="164" fontId="31" fillId="0" borderId="0" xfId="1" applyFont="1" applyAlignment="1">
      <alignment horizontal="center"/>
    </xf>
    <xf numFmtId="164" fontId="31" fillId="0" borderId="0" xfId="1" applyFont="1"/>
    <xf numFmtId="164" fontId="31" fillId="0" borderId="0" xfId="1" applyFont="1" applyAlignment="1">
      <alignment horizontal="left"/>
    </xf>
    <xf numFmtId="164" fontId="32" fillId="0" borderId="0" xfId="1" applyFont="1"/>
    <xf numFmtId="164" fontId="34" fillId="0" borderId="1" xfId="1" applyFont="1" applyBorder="1" applyAlignment="1"/>
    <xf numFmtId="164" fontId="34" fillId="3" borderId="1" xfId="1" applyFont="1" applyFill="1" applyBorder="1" applyAlignment="1"/>
    <xf numFmtId="164" fontId="35" fillId="0" borderId="0" xfId="1" applyFont="1"/>
    <xf numFmtId="166" fontId="35" fillId="0" borderId="0" xfId="1" applyNumberFormat="1" applyFont="1"/>
    <xf numFmtId="164" fontId="35" fillId="0" borderId="0" xfId="8" applyNumberFormat="1" applyFont="1"/>
    <xf numFmtId="164" fontId="34" fillId="0" borderId="0" xfId="1" applyFont="1" applyFill="1" applyBorder="1"/>
    <xf numFmtId="164" fontId="31" fillId="0" borderId="0" xfId="1" applyFont="1" applyFill="1"/>
    <xf numFmtId="164" fontId="36" fillId="0" borderId="0" xfId="1" applyFont="1" applyFill="1" applyBorder="1"/>
    <xf numFmtId="164" fontId="35" fillId="0" borderId="0" xfId="1" applyFont="1" applyFill="1"/>
    <xf numFmtId="2" fontId="39" fillId="0" borderId="0" xfId="1" applyNumberFormat="1" applyFont="1"/>
    <xf numFmtId="2" fontId="39" fillId="0" borderId="0" xfId="1" applyNumberFormat="1" applyFont="1" applyFill="1"/>
    <xf numFmtId="9" fontId="34" fillId="0" borderId="0" xfId="8" applyFont="1" applyFill="1" applyBorder="1"/>
    <xf numFmtId="164" fontId="36" fillId="0" borderId="0" xfId="1" applyFont="1"/>
    <xf numFmtId="2" fontId="31" fillId="0" borderId="0" xfId="1" applyNumberFormat="1" applyFont="1"/>
    <xf numFmtId="0" fontId="35" fillId="0" borderId="1" xfId="21" applyFont="1" applyBorder="1"/>
    <xf numFmtId="0" fontId="35" fillId="0" borderId="0" xfId="21" applyFont="1"/>
    <xf numFmtId="0" fontId="20" fillId="0" borderId="0" xfId="21"/>
    <xf numFmtId="44" fontId="35" fillId="0" borderId="0" xfId="21" applyNumberFormat="1" applyFont="1"/>
    <xf numFmtId="0" fontId="36" fillId="0" borderId="0" xfId="21" applyFont="1"/>
    <xf numFmtId="0" fontId="34" fillId="0" borderId="0" xfId="21" applyFont="1"/>
    <xf numFmtId="0" fontId="34" fillId="0" borderId="1" xfId="21" applyFont="1" applyBorder="1"/>
    <xf numFmtId="0" fontId="31" fillId="0" borderId="0" xfId="21" applyFont="1"/>
    <xf numFmtId="44" fontId="31" fillId="0" borderId="1" xfId="21" applyNumberFormat="1" applyFont="1" applyBorder="1"/>
    <xf numFmtId="0" fontId="31" fillId="0" borderId="1" xfId="21" applyFont="1" applyBorder="1"/>
    <xf numFmtId="44" fontId="35" fillId="0" borderId="1" xfId="21" applyNumberFormat="1" applyFont="1" applyBorder="1"/>
    <xf numFmtId="44" fontId="31" fillId="0" borderId="1" xfId="1" applyNumberFormat="1" applyFont="1" applyBorder="1"/>
    <xf numFmtId="0" fontId="36" fillId="0" borderId="1" xfId="21" applyFont="1" applyBorder="1"/>
    <xf numFmtId="0" fontId="37" fillId="0" borderId="0" xfId="21" applyFont="1"/>
    <xf numFmtId="44" fontId="36" fillId="0" borderId="0" xfId="21" applyNumberFormat="1" applyFont="1"/>
    <xf numFmtId="44" fontId="36" fillId="0" borderId="12" xfId="21" applyNumberFormat="1" applyFont="1" applyBorder="1"/>
    <xf numFmtId="0" fontId="20" fillId="0" borderId="1" xfId="21" applyBorder="1"/>
    <xf numFmtId="44" fontId="35" fillId="0" borderId="1" xfId="1" applyNumberFormat="1" applyFont="1" applyBorder="1"/>
    <xf numFmtId="0" fontId="19" fillId="0" borderId="0" xfId="0" applyFont="1"/>
    <xf numFmtId="0" fontId="42" fillId="0" borderId="1" xfId="0" applyFont="1" applyBorder="1"/>
    <xf numFmtId="0" fontId="19" fillId="0" borderId="1" xfId="0" applyFont="1" applyBorder="1"/>
    <xf numFmtId="0" fontId="19" fillId="0" borderId="1" xfId="0" applyFont="1" applyBorder="1" applyAlignment="1">
      <alignment wrapText="1"/>
    </xf>
    <xf numFmtId="0" fontId="25" fillId="0" borderId="1" xfId="0" applyFont="1" applyBorder="1"/>
    <xf numFmtId="0" fontId="42" fillId="0" borderId="1" xfId="0" applyFont="1" applyBorder="1" applyAlignment="1">
      <alignment horizontal="center" wrapText="1"/>
    </xf>
    <xf numFmtId="0" fontId="42" fillId="0" borderId="1" xfId="0" applyFont="1" applyBorder="1" applyAlignment="1">
      <alignment horizontal="left" wrapText="1"/>
    </xf>
    <xf numFmtId="0" fontId="42" fillId="0" borderId="0" xfId="0" applyFont="1"/>
    <xf numFmtId="164" fontId="19" fillId="0" borderId="0" xfId="1" applyFont="1"/>
    <xf numFmtId="164" fontId="24" fillId="0" borderId="0" xfId="1" applyFont="1" applyFill="1"/>
    <xf numFmtId="44" fontId="19" fillId="8" borderId="6" xfId="0" applyNumberFormat="1" applyFont="1" applyFill="1" applyBorder="1"/>
    <xf numFmtId="0" fontId="42" fillId="8" borderId="1" xfId="0" applyFont="1" applyFill="1" applyBorder="1"/>
    <xf numFmtId="165" fontId="19" fillId="0" borderId="0" xfId="0" applyNumberFormat="1" applyFont="1"/>
    <xf numFmtId="165" fontId="19" fillId="0" borderId="1" xfId="1" applyNumberFormat="1" applyFont="1" applyBorder="1" applyAlignment="1">
      <alignment horizontal="right" wrapText="1"/>
    </xf>
    <xf numFmtId="9" fontId="19" fillId="0" borderId="0" xfId="8" applyFont="1"/>
    <xf numFmtId="0" fontId="19" fillId="0" borderId="0" xfId="0" applyFont="1" applyAlignment="1">
      <alignment horizontal="left"/>
    </xf>
    <xf numFmtId="164" fontId="19" fillId="0" borderId="0" xfId="1" applyFont="1" applyAlignment="1">
      <alignment horizontal="left"/>
    </xf>
    <xf numFmtId="2" fontId="19" fillId="0" borderId="0" xfId="0" applyNumberFormat="1" applyFont="1"/>
    <xf numFmtId="164" fontId="19" fillId="0" borderId="0" xfId="1" applyFont="1" applyFill="1"/>
    <xf numFmtId="0" fontId="42" fillId="0" borderId="11" xfId="0" applyFont="1" applyBorder="1"/>
    <xf numFmtId="44" fontId="42" fillId="0" borderId="12" xfId="1" applyNumberFormat="1" applyFont="1" applyBorder="1" applyAlignment="1">
      <alignment horizontal="right"/>
    </xf>
    <xf numFmtId="2" fontId="42" fillId="0" borderId="0" xfId="0" applyNumberFormat="1" applyFont="1"/>
    <xf numFmtId="164" fontId="42" fillId="0" borderId="0" xfId="1" applyFont="1"/>
    <xf numFmtId="0" fontId="42" fillId="3" borderId="10" xfId="0" applyFont="1" applyFill="1" applyBorder="1" applyAlignment="1">
      <alignment horizontal="left" vertical="top"/>
    </xf>
    <xf numFmtId="0" fontId="42" fillId="3" borderId="7" xfId="0" applyFont="1" applyFill="1" applyBorder="1" applyAlignment="1">
      <alignment horizontal="left" vertical="top"/>
    </xf>
    <xf numFmtId="44" fontId="42" fillId="3" borderId="7" xfId="0" applyNumberFormat="1" applyFont="1" applyFill="1" applyBorder="1" applyAlignment="1">
      <alignment horizontal="left" vertical="top"/>
    </xf>
    <xf numFmtId="165" fontId="19" fillId="3" borderId="3" xfId="1" applyNumberFormat="1" applyFont="1" applyFill="1" applyBorder="1"/>
    <xf numFmtId="44" fontId="42" fillId="0" borderId="0" xfId="1" applyNumberFormat="1" applyFont="1" applyBorder="1" applyAlignment="1">
      <alignment horizontal="right"/>
    </xf>
    <xf numFmtId="44" fontId="19" fillId="0" borderId="0" xfId="0" applyNumberFormat="1" applyFont="1"/>
    <xf numFmtId="44" fontId="42" fillId="0" borderId="1" xfId="0" applyNumberFormat="1" applyFont="1" applyBorder="1"/>
    <xf numFmtId="165" fontId="42" fillId="0" borderId="1" xfId="1" applyNumberFormat="1" applyFont="1" applyBorder="1" applyAlignment="1">
      <alignment horizontal="right" wrapText="1"/>
    </xf>
    <xf numFmtId="44" fontId="19" fillId="0" borderId="1" xfId="0" applyNumberFormat="1" applyFont="1" applyBorder="1"/>
    <xf numFmtId="44" fontId="19" fillId="0" borderId="1" xfId="0" applyNumberFormat="1" applyFont="1" applyBorder="1" applyAlignment="1">
      <alignment wrapText="1"/>
    </xf>
    <xf numFmtId="165" fontId="19" fillId="0" borderId="0" xfId="1" applyNumberFormat="1" applyFont="1" applyBorder="1" applyAlignment="1">
      <alignment horizontal="right" wrapText="1"/>
    </xf>
    <xf numFmtId="44" fontId="42" fillId="0" borderId="0" xfId="1" applyNumberFormat="1" applyFont="1" applyFill="1" applyBorder="1" applyAlignment="1">
      <alignment horizontal="right"/>
    </xf>
    <xf numFmtId="0" fontId="42" fillId="0" borderId="10" xfId="0" applyFont="1" applyBorder="1" applyAlignment="1">
      <alignment horizontal="left" wrapText="1"/>
    </xf>
    <xf numFmtId="0" fontId="42" fillId="0" borderId="10" xfId="0" applyFont="1" applyBorder="1"/>
    <xf numFmtId="0" fontId="42" fillId="0" borderId="9" xfId="0" applyFont="1" applyBorder="1"/>
    <xf numFmtId="44" fontId="43" fillId="0" borderId="1" xfId="1" applyNumberFormat="1" applyFont="1" applyBorder="1" applyAlignment="1">
      <alignment horizontal="right"/>
    </xf>
    <xf numFmtId="44" fontId="19" fillId="0" borderId="1" xfId="1" applyNumberFormat="1" applyFont="1" applyBorder="1"/>
    <xf numFmtId="44" fontId="19" fillId="0" borderId="1" xfId="1" applyNumberFormat="1" applyFont="1" applyFill="1" applyBorder="1" applyAlignment="1">
      <alignment horizontal="right" wrapText="1"/>
    </xf>
    <xf numFmtId="44" fontId="19" fillId="0" borderId="1" xfId="1" applyNumberFormat="1" applyFont="1" applyFill="1" applyBorder="1" applyAlignment="1">
      <alignment horizontal="right"/>
    </xf>
    <xf numFmtId="44" fontId="42" fillId="3" borderId="1" xfId="1" applyNumberFormat="1" applyFont="1" applyFill="1" applyBorder="1" applyAlignment="1">
      <alignment horizontal="right"/>
    </xf>
    <xf numFmtId="44" fontId="19" fillId="0" borderId="13" xfId="1" applyNumberFormat="1" applyFont="1" applyFill="1" applyBorder="1"/>
    <xf numFmtId="44" fontId="19" fillId="3" borderId="0" xfId="1" applyNumberFormat="1" applyFont="1" applyFill="1" applyBorder="1"/>
    <xf numFmtId="44" fontId="44" fillId="0" borderId="0" xfId="1" applyNumberFormat="1" applyFont="1" applyBorder="1" applyAlignment="1">
      <alignment horizontal="right"/>
    </xf>
    <xf numFmtId="44" fontId="43" fillId="0" borderId="0" xfId="1" applyNumberFormat="1" applyFont="1" applyBorder="1" applyAlignment="1">
      <alignment horizontal="right"/>
    </xf>
    <xf numFmtId="44" fontId="43" fillId="0" borderId="0" xfId="1" applyNumberFormat="1" applyFont="1" applyFill="1" applyBorder="1" applyAlignment="1">
      <alignment horizontal="right"/>
    </xf>
    <xf numFmtId="44" fontId="42" fillId="0" borderId="1" xfId="0" applyNumberFormat="1" applyFont="1" applyBorder="1" applyAlignment="1">
      <alignment horizontal="center" wrapText="1"/>
    </xf>
    <xf numFmtId="44" fontId="19" fillId="0" borderId="10" xfId="1" applyNumberFormat="1" applyFont="1" applyBorder="1" applyAlignment="1">
      <alignment horizontal="right" wrapText="1"/>
    </xf>
    <xf numFmtId="44" fontId="42" fillId="0" borderId="12" xfId="1" applyNumberFormat="1" applyFont="1" applyFill="1" applyBorder="1" applyAlignment="1">
      <alignment horizontal="right"/>
    </xf>
    <xf numFmtId="44" fontId="42" fillId="0" borderId="18" xfId="1" applyNumberFormat="1" applyFont="1" applyBorder="1" applyAlignment="1">
      <alignment horizontal="right"/>
    </xf>
    <xf numFmtId="44" fontId="24" fillId="0" borderId="0" xfId="0" applyNumberFormat="1" applyFont="1"/>
    <xf numFmtId="44" fontId="24" fillId="0" borderId="0" xfId="1" applyNumberFormat="1" applyFont="1" applyFill="1"/>
    <xf numFmtId="44" fontId="24" fillId="0" borderId="0" xfId="1" applyNumberFormat="1" applyFont="1"/>
    <xf numFmtId="44" fontId="42" fillId="0" borderId="1" xfId="1" applyNumberFormat="1" applyFont="1" applyFill="1" applyBorder="1" applyAlignment="1">
      <alignment horizontal="right"/>
    </xf>
    <xf numFmtId="44" fontId="19" fillId="0" borderId="11" xfId="1" applyNumberFormat="1" applyFont="1" applyFill="1" applyBorder="1" applyAlignment="1">
      <alignment horizontal="right"/>
    </xf>
    <xf numFmtId="44" fontId="19" fillId="0" borderId="0" xfId="1" applyNumberFormat="1" applyFont="1" applyFill="1" applyBorder="1" applyAlignment="1">
      <alignment horizontal="right"/>
    </xf>
    <xf numFmtId="44" fontId="42" fillId="8" borderId="12" xfId="0" applyNumberFormat="1" applyFont="1" applyFill="1" applyBorder="1"/>
    <xf numFmtId="0" fontId="42" fillId="8" borderId="1" xfId="0" applyFont="1" applyFill="1" applyBorder="1" applyAlignment="1">
      <alignment horizontal="center"/>
    </xf>
    <xf numFmtId="44" fontId="19" fillId="8" borderId="1" xfId="1" applyNumberFormat="1" applyFont="1" applyFill="1" applyBorder="1" applyAlignment="1">
      <alignment horizontal="right"/>
    </xf>
    <xf numFmtId="44" fontId="19" fillId="8" borderId="0" xfId="0" applyNumberFormat="1" applyFont="1" applyFill="1"/>
    <xf numFmtId="0" fontId="42" fillId="8" borderId="1" xfId="0" applyFont="1" applyFill="1" applyBorder="1" applyAlignment="1">
      <alignment horizontal="center" wrapText="1"/>
    </xf>
    <xf numFmtId="0" fontId="42" fillId="2" borderId="1" xfId="0" applyFont="1" applyFill="1" applyBorder="1"/>
    <xf numFmtId="0" fontId="36" fillId="0" borderId="8" xfId="21" applyFont="1" applyBorder="1"/>
    <xf numFmtId="0" fontId="26" fillId="2" borderId="14" xfId="21" applyFont="1" applyFill="1" applyBorder="1"/>
    <xf numFmtId="0" fontId="26" fillId="2" borderId="15" xfId="21" applyFont="1" applyFill="1" applyBorder="1"/>
    <xf numFmtId="0" fontId="26" fillId="2" borderId="16" xfId="21" applyFont="1" applyFill="1" applyBorder="1"/>
    <xf numFmtId="0" fontId="42" fillId="3" borderId="1" xfId="0" applyFont="1" applyFill="1" applyBorder="1"/>
    <xf numFmtId="44" fontId="42" fillId="0" borderId="12" xfId="0" applyNumberFormat="1" applyFont="1" applyBorder="1"/>
    <xf numFmtId="0" fontId="36" fillId="0" borderId="1" xfId="21" applyFont="1" applyBorder="1" applyAlignment="1">
      <alignment horizontal="center"/>
    </xf>
    <xf numFmtId="44" fontId="19" fillId="10" borderId="1" xfId="0" applyNumberFormat="1" applyFont="1" applyFill="1" applyBorder="1"/>
    <xf numFmtId="44" fontId="42" fillId="10" borderId="12" xfId="1" applyNumberFormat="1" applyFont="1" applyFill="1" applyBorder="1" applyAlignment="1">
      <alignment horizontal="right"/>
    </xf>
    <xf numFmtId="44" fontId="42" fillId="10" borderId="12" xfId="0" applyNumberFormat="1" applyFont="1" applyFill="1" applyBorder="1"/>
    <xf numFmtId="0" fontId="36" fillId="3" borderId="17" xfId="21" applyFont="1" applyFill="1" applyBorder="1"/>
    <xf numFmtId="0" fontId="36" fillId="3" borderId="16" xfId="21" applyFont="1" applyFill="1" applyBorder="1"/>
    <xf numFmtId="0" fontId="31" fillId="0" borderId="0" xfId="21" applyFont="1" applyAlignment="1">
      <alignment horizontal="center"/>
    </xf>
    <xf numFmtId="0" fontId="32" fillId="0" borderId="0" xfId="21" applyFont="1" applyAlignment="1">
      <alignment horizontal="center"/>
    </xf>
    <xf numFmtId="0" fontId="33" fillId="0" borderId="0" xfId="21" applyFont="1"/>
    <xf numFmtId="0" fontId="34" fillId="0" borderId="1" xfId="21" applyFont="1" applyBorder="1" applyAlignment="1">
      <alignment horizontal="center"/>
    </xf>
    <xf numFmtId="0" fontId="34" fillId="3" borderId="1" xfId="21" applyFont="1" applyFill="1" applyBorder="1"/>
    <xf numFmtId="0" fontId="34" fillId="0" borderId="0" xfId="21" applyFont="1" applyAlignment="1">
      <alignment horizontal="center"/>
    </xf>
    <xf numFmtId="43" fontId="35" fillId="0" borderId="0" xfId="21" applyNumberFormat="1" applyFont="1"/>
    <xf numFmtId="164" fontId="35" fillId="0" borderId="0" xfId="21" applyNumberFormat="1" applyFont="1"/>
    <xf numFmtId="43" fontId="35" fillId="0" borderId="0" xfId="21" applyNumberFormat="1" applyFont="1" applyAlignment="1">
      <alignment horizontal="center"/>
    </xf>
    <xf numFmtId="0" fontId="36" fillId="0" borderId="1" xfId="21" applyFont="1" applyBorder="1" applyAlignment="1">
      <alignment horizontal="center" wrapText="1"/>
    </xf>
    <xf numFmtId="0" fontId="36" fillId="0" borderId="0" xfId="21" applyFont="1" applyAlignment="1">
      <alignment horizontal="center"/>
    </xf>
    <xf numFmtId="2" fontId="35" fillId="0" borderId="0" xfId="21" applyNumberFormat="1" applyFont="1"/>
    <xf numFmtId="43" fontId="31" fillId="0" borderId="0" xfId="21" applyNumberFormat="1" applyFont="1" applyAlignment="1">
      <alignment horizontal="center"/>
    </xf>
    <xf numFmtId="0" fontId="39" fillId="0" borderId="0" xfId="21" applyFont="1"/>
    <xf numFmtId="2" fontId="39" fillId="0" borderId="0" xfId="21" applyNumberFormat="1" applyFont="1"/>
    <xf numFmtId="44" fontId="31" fillId="0" borderId="1" xfId="1" applyNumberFormat="1" applyFont="1" applyBorder="1" applyAlignment="1">
      <alignment horizontal="right"/>
    </xf>
    <xf numFmtId="44" fontId="34" fillId="3" borderId="12" xfId="1" applyNumberFormat="1" applyFont="1" applyFill="1" applyBorder="1" applyAlignment="1">
      <alignment horizontal="right"/>
    </xf>
    <xf numFmtId="44" fontId="35" fillId="0" borderId="1" xfId="1" applyNumberFormat="1" applyFont="1" applyBorder="1" applyAlignment="1">
      <alignment horizontal="right"/>
    </xf>
    <xf numFmtId="2" fontId="35" fillId="0" borderId="0" xfId="8" applyNumberFormat="1" applyFont="1" applyFill="1"/>
    <xf numFmtId="0" fontId="25" fillId="0" borderId="7" xfId="0" applyFont="1" applyBorder="1"/>
    <xf numFmtId="0" fontId="19" fillId="0" borderId="11" xfId="0" applyFont="1" applyBorder="1"/>
    <xf numFmtId="44" fontId="19" fillId="6" borderId="1" xfId="0" applyNumberFormat="1" applyFont="1" applyFill="1" applyBorder="1"/>
    <xf numFmtId="44" fontId="42" fillId="6" borderId="12" xfId="0" applyNumberFormat="1" applyFont="1" applyFill="1" applyBorder="1"/>
    <xf numFmtId="44" fontId="42" fillId="0" borderId="0" xfId="0" applyNumberFormat="1" applyFont="1"/>
    <xf numFmtId="44" fontId="36" fillId="0" borderId="0" xfId="21" applyNumberFormat="1" applyFont="1" applyAlignment="1">
      <alignment horizontal="center"/>
    </xf>
    <xf numFmtId="0" fontId="42" fillId="6" borderId="1" xfId="0" applyFont="1" applyFill="1" applyBorder="1" applyAlignment="1">
      <alignment horizontal="center" wrapText="1"/>
    </xf>
    <xf numFmtId="0" fontId="42" fillId="10" borderId="1" xfId="0" applyFont="1" applyFill="1" applyBorder="1" applyAlignment="1">
      <alignment horizontal="center" wrapText="1"/>
    </xf>
    <xf numFmtId="44" fontId="42" fillId="8" borderId="1" xfId="0" applyNumberFormat="1" applyFont="1" applyFill="1" applyBorder="1" applyAlignment="1">
      <alignment horizontal="center" wrapText="1"/>
    </xf>
    <xf numFmtId="0" fontId="18" fillId="0" borderId="1" xfId="0" applyFont="1" applyBorder="1"/>
    <xf numFmtId="0" fontId="30" fillId="0" borderId="0" xfId="0" applyFont="1"/>
    <xf numFmtId="10" fontId="30" fillId="0" borderId="0" xfId="0" applyNumberFormat="1" applyFont="1"/>
    <xf numFmtId="0" fontId="17" fillId="0" borderId="1" xfId="0" applyFont="1" applyBorder="1"/>
    <xf numFmtId="0" fontId="17" fillId="0" borderId="10" xfId="0" applyFont="1" applyBorder="1"/>
    <xf numFmtId="44" fontId="17" fillId="8" borderId="6" xfId="0" applyNumberFormat="1" applyFont="1" applyFill="1" applyBorder="1"/>
    <xf numFmtId="0" fontId="17" fillId="0" borderId="1" xfId="0" applyFont="1" applyBorder="1" applyAlignment="1">
      <alignment wrapText="1"/>
    </xf>
    <xf numFmtId="164" fontId="17" fillId="0" borderId="1" xfId="1" applyFont="1" applyFill="1" applyBorder="1" applyAlignment="1">
      <alignment wrapText="1"/>
    </xf>
    <xf numFmtId="0" fontId="17" fillId="0" borderId="1" xfId="0" applyFont="1" applyBorder="1" applyAlignment="1">
      <alignment horizontal="right" wrapText="1"/>
    </xf>
    <xf numFmtId="0" fontId="17" fillId="0" borderId="13" xfId="0" applyFont="1" applyBorder="1" applyAlignment="1">
      <alignment wrapText="1"/>
    </xf>
    <xf numFmtId="164" fontId="17" fillId="0" borderId="1" xfId="1" applyFont="1" applyBorder="1" applyAlignment="1">
      <alignment wrapText="1"/>
    </xf>
    <xf numFmtId="0" fontId="17" fillId="0" borderId="6" xfId="0" applyFont="1" applyBorder="1" applyAlignment="1">
      <alignment wrapText="1"/>
    </xf>
    <xf numFmtId="0" fontId="17" fillId="0" borderId="1" xfId="0" applyFont="1" applyBorder="1" applyAlignment="1">
      <alignment horizontal="center" wrapText="1"/>
    </xf>
    <xf numFmtId="164" fontId="17" fillId="7" borderId="1" xfId="1" applyFont="1" applyFill="1" applyBorder="1" applyAlignment="1">
      <alignment wrapText="1"/>
    </xf>
    <xf numFmtId="164" fontId="17" fillId="6" borderId="1" xfId="1" applyFont="1" applyFill="1" applyBorder="1" applyAlignment="1">
      <alignment wrapText="1"/>
    </xf>
    <xf numFmtId="164" fontId="17" fillId="0" borderId="0" xfId="1" applyFont="1" applyAlignment="1">
      <alignment wrapText="1"/>
    </xf>
    <xf numFmtId="0" fontId="17" fillId="0" borderId="1" xfId="0" applyFont="1" applyBorder="1" applyAlignment="1">
      <alignment horizontal="left" wrapText="1"/>
    </xf>
    <xf numFmtId="0" fontId="17" fillId="0" borderId="0" xfId="0" applyFont="1"/>
    <xf numFmtId="2" fontId="17" fillId="0" borderId="0" xfId="0" applyNumberFormat="1" applyFont="1" applyAlignment="1">
      <alignment horizontal="right"/>
    </xf>
    <xf numFmtId="0" fontId="17" fillId="0" borderId="0" xfId="0" applyFont="1" applyAlignment="1">
      <alignment horizontal="right"/>
    </xf>
    <xf numFmtId="44" fontId="17" fillId="8" borderId="12" xfId="1" applyNumberFormat="1" applyFont="1" applyFill="1" applyBorder="1"/>
    <xf numFmtId="0" fontId="17" fillId="6" borderId="1" xfId="0" applyFont="1" applyFill="1" applyBorder="1" applyAlignment="1">
      <alignment wrapText="1"/>
    </xf>
    <xf numFmtId="0" fontId="17" fillId="6" borderId="1" xfId="0" applyFont="1" applyFill="1" applyBorder="1" applyAlignment="1">
      <alignment horizontal="center" wrapText="1"/>
    </xf>
    <xf numFmtId="0" fontId="17" fillId="6" borderId="1" xfId="0" applyFont="1" applyFill="1" applyBorder="1"/>
    <xf numFmtId="0" fontId="17" fillId="6" borderId="1" xfId="0" applyFont="1" applyFill="1" applyBorder="1" applyAlignment="1">
      <alignment horizontal="left" wrapText="1"/>
    </xf>
    <xf numFmtId="0" fontId="17" fillId="7" borderId="1" xfId="0" applyFont="1" applyFill="1" applyBorder="1"/>
    <xf numFmtId="164" fontId="17" fillId="7" borderId="5" xfId="1" applyFont="1" applyFill="1" applyBorder="1" applyAlignment="1">
      <alignment wrapText="1"/>
    </xf>
    <xf numFmtId="164" fontId="17" fillId="6" borderId="5" xfId="1" applyFont="1" applyFill="1" applyBorder="1" applyAlignment="1">
      <alignment wrapText="1"/>
    </xf>
    <xf numFmtId="164" fontId="17" fillId="0" borderId="5" xfId="1" applyFont="1" applyFill="1" applyBorder="1" applyAlignment="1">
      <alignment wrapText="1"/>
    </xf>
    <xf numFmtId="164" fontId="17" fillId="7" borderId="1" xfId="1" applyFont="1" applyFill="1" applyBorder="1"/>
    <xf numFmtId="43" fontId="17" fillId="0" borderId="0" xfId="0" applyNumberFormat="1" applyFont="1"/>
    <xf numFmtId="0" fontId="17" fillId="4" borderId="0" xfId="0" applyFont="1" applyFill="1"/>
    <xf numFmtId="164" fontId="17" fillId="0" borderId="1" xfId="1" applyFont="1" applyBorder="1"/>
    <xf numFmtId="164" fontId="17" fillId="0" borderId="0" xfId="1" applyFont="1" applyFill="1" applyAlignment="1">
      <alignment wrapText="1"/>
    </xf>
    <xf numFmtId="44" fontId="42" fillId="8" borderId="12" xfId="1" applyNumberFormat="1" applyFont="1" applyFill="1" applyBorder="1" applyAlignment="1">
      <alignment horizontal="right"/>
    </xf>
    <xf numFmtId="44" fontId="17" fillId="6" borderId="1" xfId="0" applyNumberFormat="1" applyFont="1" applyFill="1" applyBorder="1"/>
    <xf numFmtId="44" fontId="17" fillId="0" borderId="0" xfId="0" applyNumberFormat="1" applyFont="1"/>
    <xf numFmtId="44" fontId="17" fillId="0" borderId="1" xfId="1" applyNumberFormat="1" applyFont="1" applyFill="1" applyBorder="1" applyAlignment="1">
      <alignment horizontal="right" wrapText="1"/>
    </xf>
    <xf numFmtId="44" fontId="17" fillId="0" borderId="1" xfId="1" applyNumberFormat="1" applyFont="1" applyFill="1" applyBorder="1" applyAlignment="1">
      <alignment horizontal="right"/>
    </xf>
    <xf numFmtId="44" fontId="17" fillId="0" borderId="1" xfId="1" applyNumberFormat="1" applyFont="1" applyBorder="1" applyAlignment="1">
      <alignment horizontal="right" wrapText="1"/>
    </xf>
    <xf numFmtId="0" fontId="17" fillId="0" borderId="1" xfId="0" applyFont="1" applyBorder="1" applyAlignment="1">
      <alignment horizontal="center"/>
    </xf>
    <xf numFmtId="44" fontId="17" fillId="0" borderId="1" xfId="0" applyNumberFormat="1" applyFont="1" applyBorder="1"/>
    <xf numFmtId="0" fontId="29" fillId="0" borderId="3" xfId="0" applyFont="1" applyBorder="1"/>
    <xf numFmtId="0" fontId="29" fillId="0" borderId="6" xfId="0" applyFont="1" applyBorder="1"/>
    <xf numFmtId="0" fontId="16" fillId="0" borderId="1" xfId="0" applyFont="1" applyBorder="1"/>
    <xf numFmtId="44" fontId="30" fillId="0" borderId="0" xfId="0" applyNumberFormat="1" applyFont="1"/>
    <xf numFmtId="0" fontId="15" fillId="0" borderId="1" xfId="0" applyFont="1" applyBorder="1"/>
    <xf numFmtId="44" fontId="15" fillId="0" borderId="1" xfId="0" applyNumberFormat="1" applyFont="1" applyBorder="1"/>
    <xf numFmtId="44" fontId="15" fillId="6" borderId="1" xfId="0" applyNumberFormat="1" applyFont="1" applyFill="1" applyBorder="1"/>
    <xf numFmtId="44" fontId="15" fillId="0" borderId="1" xfId="1" applyNumberFormat="1" applyFont="1" applyFill="1" applyBorder="1" applyAlignment="1">
      <alignment horizontal="right"/>
    </xf>
    <xf numFmtId="44" fontId="15" fillId="0" borderId="1" xfId="1" applyNumberFormat="1" applyFont="1" applyBorder="1" applyAlignment="1">
      <alignment horizontal="right" wrapText="1"/>
    </xf>
    <xf numFmtId="0" fontId="15" fillId="0" borderId="0" xfId="0" applyFont="1"/>
    <xf numFmtId="165" fontId="15" fillId="0" borderId="0" xfId="0" applyNumberFormat="1" applyFont="1"/>
    <xf numFmtId="164" fontId="15" fillId="0" borderId="0" xfId="1" applyFont="1"/>
    <xf numFmtId="0" fontId="26" fillId="0" borderId="0" xfId="0" applyFont="1"/>
    <xf numFmtId="44" fontId="34" fillId="0" borderId="0" xfId="8" applyNumberFormat="1" applyFont="1" applyFill="1" applyBorder="1"/>
    <xf numFmtId="0" fontId="14" fillId="0" borderId="7" xfId="0" applyFont="1" applyBorder="1" applyAlignment="1">
      <alignment horizontal="left" wrapText="1"/>
    </xf>
    <xf numFmtId="0" fontId="14" fillId="0" borderId="1" xfId="0" applyFont="1" applyBorder="1"/>
    <xf numFmtId="0" fontId="13" fillId="0" borderId="1" xfId="0" applyFont="1" applyBorder="1" applyAlignment="1">
      <alignment wrapText="1"/>
    </xf>
    <xf numFmtId="0" fontId="20" fillId="0" borderId="0" xfId="0" applyFont="1"/>
    <xf numFmtId="44" fontId="25" fillId="0" borderId="0" xfId="1" applyNumberFormat="1" applyFont="1"/>
    <xf numFmtId="44" fontId="26" fillId="0" borderId="2" xfId="1" applyNumberFormat="1" applyFont="1" applyBorder="1"/>
    <xf numFmtId="44" fontId="25" fillId="0" borderId="0" xfId="0" applyNumberFormat="1" applyFont="1"/>
    <xf numFmtId="44" fontId="26" fillId="0" borderId="2" xfId="0" applyNumberFormat="1" applyFont="1" applyBorder="1"/>
    <xf numFmtId="44" fontId="26" fillId="0" borderId="0" xfId="1" applyNumberFormat="1" applyFont="1" applyBorder="1"/>
    <xf numFmtId="0" fontId="31" fillId="0" borderId="10" xfId="0" applyFont="1" applyBorder="1"/>
    <xf numFmtId="0" fontId="31" fillId="0" borderId="0" xfId="0" applyFont="1"/>
    <xf numFmtId="44" fontId="31" fillId="0" borderId="1" xfId="0" applyNumberFormat="1" applyFont="1" applyBorder="1"/>
    <xf numFmtId="0" fontId="31" fillId="0" borderId="1" xfId="0" applyFont="1" applyBorder="1"/>
    <xf numFmtId="0" fontId="0" fillId="0" borderId="1" xfId="0" applyBorder="1"/>
    <xf numFmtId="0" fontId="46" fillId="0" borderId="0" xfId="0" applyFont="1"/>
    <xf numFmtId="0" fontId="35" fillId="0" borderId="0" xfId="0" applyFont="1"/>
    <xf numFmtId="0" fontId="48" fillId="0" borderId="1" xfId="0" applyFont="1" applyBorder="1"/>
    <xf numFmtId="0" fontId="48" fillId="0" borderId="0" xfId="0" applyFont="1"/>
    <xf numFmtId="164" fontId="48" fillId="0" borderId="1" xfId="1" applyFont="1" applyBorder="1"/>
    <xf numFmtId="0" fontId="49" fillId="0" borderId="1" xfId="0" applyFont="1" applyBorder="1"/>
    <xf numFmtId="0" fontId="49" fillId="0" borderId="0" xfId="0" applyFont="1"/>
    <xf numFmtId="0" fontId="47" fillId="0" borderId="1" xfId="0" applyFont="1" applyBorder="1"/>
    <xf numFmtId="164" fontId="0" fillId="0" borderId="19" xfId="1" applyFont="1" applyBorder="1"/>
    <xf numFmtId="164" fontId="0" fillId="0" borderId="1" xfId="1" applyFont="1" applyBorder="1"/>
    <xf numFmtId="0" fontId="49" fillId="0" borderId="1" xfId="0" applyFont="1" applyBorder="1" applyAlignment="1">
      <alignment horizontal="left"/>
    </xf>
    <xf numFmtId="0" fontId="12" fillId="0" borderId="1" xfId="0" applyFont="1" applyBorder="1"/>
    <xf numFmtId="0" fontId="51" fillId="0" borderId="0" xfId="28" applyFont="1" applyAlignment="1">
      <alignment horizontal="left" vertical="center"/>
    </xf>
    <xf numFmtId="0" fontId="45" fillId="0" borderId="0" xfId="28" applyFont="1" applyAlignment="1">
      <alignment vertical="top"/>
    </xf>
    <xf numFmtId="0" fontId="51" fillId="0" borderId="0" xfId="28" applyFont="1" applyAlignment="1">
      <alignment wrapText="1"/>
    </xf>
    <xf numFmtId="0" fontId="51" fillId="0" borderId="0" xfId="28" applyFont="1"/>
    <xf numFmtId="0" fontId="52" fillId="0" borderId="0" xfId="28" applyFont="1"/>
    <xf numFmtId="3" fontId="37" fillId="11" borderId="0" xfId="28" applyNumberFormat="1" applyFont="1" applyFill="1" applyAlignment="1" applyProtection="1">
      <alignment horizontal="center"/>
      <protection locked="0"/>
    </xf>
    <xf numFmtId="0" fontId="51" fillId="11" borderId="0" xfId="28" applyFont="1" applyFill="1"/>
    <xf numFmtId="0" fontId="54" fillId="0" borderId="0" xfId="28" applyFont="1"/>
    <xf numFmtId="0" fontId="58" fillId="0" borderId="0" xfId="28" applyFont="1" applyAlignment="1">
      <alignment horizontal="left" vertical="center" indent="2"/>
    </xf>
    <xf numFmtId="0" fontId="51" fillId="0" borderId="0" xfId="28" applyFont="1" applyAlignment="1">
      <alignment horizontal="center"/>
    </xf>
    <xf numFmtId="0" fontId="59" fillId="0" borderId="0" xfId="28" applyFont="1"/>
    <xf numFmtId="0" fontId="59" fillId="0" borderId="0" xfId="28" applyFont="1" applyAlignment="1">
      <alignment horizontal="center"/>
    </xf>
    <xf numFmtId="0" fontId="59" fillId="0" borderId="0" xfId="28" applyFont="1" applyAlignment="1">
      <alignment horizontal="center" wrapText="1"/>
    </xf>
    <xf numFmtId="0" fontId="51" fillId="12" borderId="1" xfId="28" applyFont="1" applyFill="1" applyBorder="1" applyAlignment="1">
      <alignment wrapText="1"/>
    </xf>
    <xf numFmtId="0" fontId="59" fillId="0" borderId="1" xfId="28" applyFont="1" applyBorder="1" applyAlignment="1">
      <alignment wrapText="1"/>
    </xf>
    <xf numFmtId="3" fontId="37" fillId="13" borderId="21" xfId="28" applyNumberFormat="1" applyFont="1" applyFill="1" applyBorder="1" applyAlignment="1" applyProtection="1">
      <alignment horizontal="center"/>
      <protection locked="0"/>
    </xf>
    <xf numFmtId="3" fontId="51" fillId="0" borderId="0" xfId="28" applyNumberFormat="1" applyFont="1"/>
    <xf numFmtId="0" fontId="51" fillId="0" borderId="1" xfId="28" applyFont="1" applyBorder="1" applyAlignment="1">
      <alignment wrapText="1"/>
    </xf>
    <xf numFmtId="10" fontId="51" fillId="0" borderId="0" xfId="28" applyNumberFormat="1" applyFont="1"/>
    <xf numFmtId="0" fontId="51" fillId="0" borderId="0" xfId="28" applyFont="1" applyAlignment="1">
      <alignment vertical="center"/>
    </xf>
    <xf numFmtId="3" fontId="37" fillId="14" borderId="21" xfId="28" applyNumberFormat="1" applyFont="1" applyFill="1" applyBorder="1" applyAlignment="1" applyProtection="1">
      <alignment horizontal="center"/>
      <protection locked="0"/>
    </xf>
    <xf numFmtId="0" fontId="51" fillId="15" borderId="1" xfId="28" applyFont="1" applyFill="1" applyBorder="1" applyAlignment="1">
      <alignment wrapText="1"/>
    </xf>
    <xf numFmtId="3" fontId="37" fillId="0" borderId="0" xfId="28" applyNumberFormat="1" applyFont="1" applyAlignment="1" applyProtection="1">
      <alignment horizontal="center"/>
      <protection locked="0"/>
    </xf>
    <xf numFmtId="0" fontId="51" fillId="0" borderId="0" xfId="28" applyFont="1" applyAlignment="1">
      <alignment horizontal="center" wrapText="1"/>
    </xf>
    <xf numFmtId="0" fontId="59" fillId="16" borderId="1" xfId="28" applyFont="1" applyFill="1" applyBorder="1" applyAlignment="1">
      <alignment horizontal="center" wrapText="1"/>
    </xf>
    <xf numFmtId="0" fontId="62" fillId="0" borderId="0" xfId="28" applyFont="1"/>
    <xf numFmtId="0" fontId="51" fillId="0" borderId="0" xfId="28" applyFont="1" applyAlignment="1">
      <alignment horizontal="left" vertical="top" wrapText="1"/>
    </xf>
    <xf numFmtId="3" fontId="37" fillId="13" borderId="0" xfId="28" applyNumberFormat="1" applyFont="1" applyFill="1" applyAlignment="1" applyProtection="1">
      <alignment horizontal="center"/>
      <protection locked="0"/>
    </xf>
    <xf numFmtId="0" fontId="51" fillId="12" borderId="0" xfId="28" applyFont="1" applyFill="1" applyAlignment="1">
      <alignment wrapText="1"/>
    </xf>
    <xf numFmtId="0" fontId="59" fillId="16" borderId="0" xfId="28" applyFont="1" applyFill="1" applyAlignment="1">
      <alignment horizontal="center" wrapText="1"/>
    </xf>
    <xf numFmtId="166" fontId="34" fillId="0" borderId="0" xfId="1" applyNumberFormat="1" applyFont="1" applyFill="1" applyBorder="1"/>
    <xf numFmtId="0" fontId="17" fillId="0" borderId="6" xfId="0" applyFont="1" applyBorder="1"/>
    <xf numFmtId="0" fontId="11" fillId="0" borderId="1" xfId="0" applyFont="1" applyBorder="1"/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left" wrapText="1"/>
    </xf>
    <xf numFmtId="164" fontId="17" fillId="0" borderId="1" xfId="1" applyFont="1" applyFill="1" applyBorder="1" applyAlignment="1">
      <alignment horizontal="center" wrapText="1"/>
    </xf>
    <xf numFmtId="164" fontId="17" fillId="0" borderId="1" xfId="1" applyFont="1" applyFill="1" applyBorder="1"/>
    <xf numFmtId="164" fontId="13" fillId="0" borderId="1" xfId="1" applyFont="1" applyFill="1" applyBorder="1" applyAlignment="1">
      <alignment wrapText="1"/>
    </xf>
    <xf numFmtId="164" fontId="16" fillId="0" borderId="1" xfId="1" applyFont="1" applyFill="1" applyBorder="1"/>
    <xf numFmtId="0" fontId="11" fillId="0" borderId="1" xfId="0" applyFont="1" applyBorder="1" applyAlignment="1">
      <alignment horizontal="right" wrapText="1"/>
    </xf>
    <xf numFmtId="0" fontId="17" fillId="0" borderId="1" xfId="0" applyFont="1" applyBorder="1" applyAlignment="1">
      <alignment horizontal="left"/>
    </xf>
    <xf numFmtId="0" fontId="11" fillId="0" borderId="1" xfId="0" applyFont="1" applyBorder="1" applyAlignment="1">
      <alignment horizontal="center" wrapText="1"/>
    </xf>
    <xf numFmtId="0" fontId="11" fillId="0" borderId="5" xfId="0" applyFont="1" applyBorder="1" applyAlignment="1">
      <alignment wrapText="1"/>
    </xf>
    <xf numFmtId="0" fontId="11" fillId="0" borderId="5" xfId="0" applyFont="1" applyBorder="1" applyAlignment="1">
      <alignment horizontal="right" wrapText="1"/>
    </xf>
    <xf numFmtId="49" fontId="11" fillId="0" borderId="1" xfId="0" applyNumberFormat="1" applyFont="1" applyBorder="1" applyAlignment="1">
      <alignment horizontal="left" wrapText="1"/>
    </xf>
    <xf numFmtId="0" fontId="34" fillId="3" borderId="1" xfId="0" applyFont="1" applyFill="1" applyBorder="1"/>
    <xf numFmtId="0" fontId="34" fillId="0" borderId="0" xfId="0" applyFont="1"/>
    <xf numFmtId="44" fontId="24" fillId="0" borderId="12" xfId="0" applyNumberFormat="1" applyFont="1" applyBorder="1"/>
    <xf numFmtId="44" fontId="11" fillId="8" borderId="1" xfId="1" applyNumberFormat="1" applyFont="1" applyFill="1" applyBorder="1" applyAlignment="1">
      <alignment horizontal="right"/>
    </xf>
    <xf numFmtId="44" fontId="11" fillId="10" borderId="1" xfId="0" applyNumberFormat="1" applyFont="1" applyFill="1" applyBorder="1"/>
    <xf numFmtId="44" fontId="31" fillId="0" borderId="0" xfId="0" applyNumberFormat="1" applyFont="1"/>
    <xf numFmtId="0" fontId="34" fillId="9" borderId="1" xfId="0" applyFont="1" applyFill="1" applyBorder="1"/>
    <xf numFmtId="0" fontId="31" fillId="0" borderId="0" xfId="0" applyFont="1" applyAlignment="1">
      <alignment horizontal="left"/>
    </xf>
    <xf numFmtId="44" fontId="31" fillId="0" borderId="11" xfId="0" applyNumberFormat="1" applyFont="1" applyBorder="1"/>
    <xf numFmtId="0" fontId="34" fillId="3" borderId="1" xfId="0" applyFont="1" applyFill="1" applyBorder="1" applyAlignment="1">
      <alignment horizontal="center"/>
    </xf>
    <xf numFmtId="0" fontId="34" fillId="0" borderId="11" xfId="0" applyFont="1" applyBorder="1"/>
    <xf numFmtId="0" fontId="31" fillId="0" borderId="11" xfId="0" applyFont="1" applyBorder="1"/>
    <xf numFmtId="0" fontId="35" fillId="0" borderId="11" xfId="0" applyFont="1" applyBorder="1"/>
    <xf numFmtId="0" fontId="35" fillId="0" borderId="1" xfId="0" applyFont="1" applyBorder="1"/>
    <xf numFmtId="0" fontId="32" fillId="0" borderId="0" xfId="0" applyFont="1"/>
    <xf numFmtId="0" fontId="31" fillId="5" borderId="8" xfId="0" applyFont="1" applyFill="1" applyBorder="1"/>
    <xf numFmtId="44" fontId="31" fillId="5" borderId="0" xfId="1" applyNumberFormat="1" applyFont="1" applyFill="1" applyBorder="1" applyAlignment="1">
      <alignment horizontal="left"/>
    </xf>
    <xf numFmtId="0" fontId="31" fillId="5" borderId="0" xfId="0" applyFont="1" applyFill="1"/>
    <xf numFmtId="164" fontId="31" fillId="5" borderId="8" xfId="1" applyFont="1" applyFill="1" applyBorder="1"/>
    <xf numFmtId="44" fontId="32" fillId="0" borderId="0" xfId="0" applyNumberFormat="1" applyFont="1"/>
    <xf numFmtId="44" fontId="31" fillId="5" borderId="0" xfId="0" applyNumberFormat="1" applyFont="1" applyFill="1" applyAlignment="1">
      <alignment horizontal="left"/>
    </xf>
    <xf numFmtId="44" fontId="31" fillId="5" borderId="0" xfId="1" applyNumberFormat="1" applyFont="1" applyFill="1" applyBorder="1"/>
    <xf numFmtId="164" fontId="31" fillId="0" borderId="0" xfId="1" applyFont="1" applyFill="1" applyBorder="1"/>
    <xf numFmtId="43" fontId="32" fillId="0" borderId="0" xfId="0" applyNumberFormat="1" applyFont="1"/>
    <xf numFmtId="165" fontId="31" fillId="0" borderId="0" xfId="0" applyNumberFormat="1" applyFont="1"/>
    <xf numFmtId="165" fontId="31" fillId="0" borderId="0" xfId="0" applyNumberFormat="1" applyFont="1" applyAlignment="1">
      <alignment horizontal="right"/>
    </xf>
    <xf numFmtId="9" fontId="63" fillId="0" borderId="8" xfId="8" applyFont="1" applyFill="1" applyBorder="1"/>
    <xf numFmtId="164" fontId="31" fillId="5" borderId="0" xfId="1" applyFont="1" applyFill="1" applyBorder="1"/>
    <xf numFmtId="0" fontId="36" fillId="3" borderId="11" xfId="0" applyFont="1" applyFill="1" applyBorder="1"/>
    <xf numFmtId="0" fontId="35" fillId="3" borderId="1" xfId="0" applyFont="1" applyFill="1" applyBorder="1"/>
    <xf numFmtId="0" fontId="36" fillId="0" borderId="1" xfId="0" applyFont="1" applyBorder="1"/>
    <xf numFmtId="0" fontId="34" fillId="5" borderId="10" xfId="0" applyFont="1" applyFill="1" applyBorder="1"/>
    <xf numFmtId="0" fontId="33" fillId="5" borderId="3" xfId="0" applyFont="1" applyFill="1" applyBorder="1"/>
    <xf numFmtId="0" fontId="34" fillId="4" borderId="1" xfId="0" applyFont="1" applyFill="1" applyBorder="1" applyAlignment="1">
      <alignment horizontal="center"/>
    </xf>
    <xf numFmtId="44" fontId="31" fillId="4" borderId="4" xfId="0" applyNumberFormat="1" applyFont="1" applyFill="1" applyBorder="1" applyAlignment="1">
      <alignment horizontal="center"/>
    </xf>
    <xf numFmtId="44" fontId="31" fillId="4" borderId="4" xfId="1" applyNumberFormat="1" applyFont="1" applyFill="1" applyBorder="1" applyAlignment="1">
      <alignment horizontal="center"/>
    </xf>
    <xf numFmtId="44" fontId="31" fillId="4" borderId="12" xfId="1" applyNumberFormat="1" applyFont="1" applyFill="1" applyBorder="1" applyAlignment="1">
      <alignment horizontal="left"/>
    </xf>
    <xf numFmtId="164" fontId="34" fillId="5" borderId="10" xfId="1" applyFont="1" applyFill="1" applyBorder="1"/>
    <xf numFmtId="164" fontId="34" fillId="5" borderId="6" xfId="1" applyFont="1" applyFill="1" applyBorder="1"/>
    <xf numFmtId="0" fontId="31" fillId="5" borderId="3" xfId="0" applyFont="1" applyFill="1" applyBorder="1"/>
    <xf numFmtId="0" fontId="31" fillId="5" borderId="6" xfId="0" applyFont="1" applyFill="1" applyBorder="1"/>
    <xf numFmtId="0" fontId="34" fillId="9" borderId="1" xfId="0" applyFont="1" applyFill="1" applyBorder="1" applyAlignment="1">
      <alignment horizontal="center"/>
    </xf>
    <xf numFmtId="44" fontId="31" fillId="9" borderId="1" xfId="0" applyNumberFormat="1" applyFont="1" applyFill="1" applyBorder="1"/>
    <xf numFmtId="44" fontId="31" fillId="9" borderId="11" xfId="0" applyNumberFormat="1" applyFont="1" applyFill="1" applyBorder="1"/>
    <xf numFmtId="165" fontId="36" fillId="9" borderId="18" xfId="0" applyNumberFormat="1" applyFont="1" applyFill="1" applyBorder="1"/>
    <xf numFmtId="0" fontId="34" fillId="17" borderId="1" xfId="0" applyFont="1" applyFill="1" applyBorder="1"/>
    <xf numFmtId="0" fontId="29" fillId="8" borderId="10" xfId="0" applyFont="1" applyFill="1" applyBorder="1"/>
    <xf numFmtId="0" fontId="29" fillId="8" borderId="3" xfId="0" applyFont="1" applyFill="1" applyBorder="1"/>
    <xf numFmtId="0" fontId="29" fillId="8" borderId="20" xfId="0" applyFont="1" applyFill="1" applyBorder="1"/>
    <xf numFmtId="0" fontId="34" fillId="6" borderId="1" xfId="21" applyFont="1" applyFill="1" applyBorder="1" applyAlignment="1">
      <alignment horizontal="center" wrapText="1"/>
    </xf>
    <xf numFmtId="44" fontId="31" fillId="6" borderId="1" xfId="1" applyNumberFormat="1" applyFont="1" applyFill="1" applyBorder="1" applyAlignment="1">
      <alignment horizontal="right"/>
    </xf>
    <xf numFmtId="44" fontId="34" fillId="6" borderId="1" xfId="1" applyNumberFormat="1" applyFont="1" applyFill="1" applyBorder="1" applyAlignment="1">
      <alignment horizontal="right"/>
    </xf>
    <xf numFmtId="0" fontId="34" fillId="6" borderId="1" xfId="21" applyFont="1" applyFill="1" applyBorder="1" applyAlignment="1">
      <alignment horizontal="center"/>
    </xf>
    <xf numFmtId="44" fontId="34" fillId="6" borderId="12" xfId="1" applyNumberFormat="1" applyFont="1" applyFill="1" applyBorder="1" applyAlignment="1">
      <alignment horizontal="right"/>
    </xf>
    <xf numFmtId="0" fontId="36" fillId="6" borderId="1" xfId="21" applyFont="1" applyFill="1" applyBorder="1" applyAlignment="1">
      <alignment horizontal="center" wrapText="1"/>
    </xf>
    <xf numFmtId="44" fontId="35" fillId="6" borderId="1" xfId="1" applyNumberFormat="1" applyFont="1" applyFill="1" applyBorder="1" applyAlignment="1">
      <alignment horizontal="right"/>
    </xf>
    <xf numFmtId="0" fontId="36" fillId="6" borderId="1" xfId="21" applyFont="1" applyFill="1" applyBorder="1" applyAlignment="1">
      <alignment horizontal="center"/>
    </xf>
    <xf numFmtId="44" fontId="36" fillId="6" borderId="1" xfId="1" applyNumberFormat="1" applyFont="1" applyFill="1" applyBorder="1" applyAlignment="1">
      <alignment horizontal="right"/>
    </xf>
    <xf numFmtId="0" fontId="25" fillId="0" borderId="0" xfId="21" applyFont="1"/>
    <xf numFmtId="0" fontId="41" fillId="0" borderId="1" xfId="0" applyFont="1" applyBorder="1" applyAlignment="1">
      <alignment horizontal="center" wrapText="1"/>
    </xf>
    <xf numFmtId="164" fontId="41" fillId="0" borderId="0" xfId="1" applyFont="1" applyFill="1" applyAlignment="1">
      <alignment wrapText="1"/>
    </xf>
    <xf numFmtId="164" fontId="41" fillId="0" borderId="0" xfId="1" applyFont="1" applyAlignment="1">
      <alignment wrapText="1"/>
    </xf>
    <xf numFmtId="0" fontId="41" fillId="0" borderId="0" xfId="0" applyFont="1"/>
    <xf numFmtId="0" fontId="64" fillId="0" borderId="5" xfId="0" applyFont="1" applyBorder="1" applyAlignment="1">
      <alignment wrapText="1"/>
    </xf>
    <xf numFmtId="0" fontId="64" fillId="0" borderId="7" xfId="0" applyFont="1" applyBorder="1" applyAlignment="1">
      <alignment horizontal="left" wrapText="1"/>
    </xf>
    <xf numFmtId="0" fontId="64" fillId="0" borderId="7" xfId="0" applyFont="1" applyBorder="1"/>
    <xf numFmtId="0" fontId="64" fillId="0" borderId="13" xfId="0" applyFont="1" applyBorder="1" applyAlignment="1">
      <alignment wrapText="1"/>
    </xf>
    <xf numFmtId="0" fontId="64" fillId="0" borderId="5" xfId="0" applyFont="1" applyBorder="1" applyAlignment="1">
      <alignment horizontal="right" wrapText="1"/>
    </xf>
    <xf numFmtId="164" fontId="64" fillId="7" borderId="5" xfId="1" applyFont="1" applyFill="1" applyBorder="1" applyAlignment="1">
      <alignment wrapText="1"/>
    </xf>
    <xf numFmtId="164" fontId="64" fillId="6" borderId="5" xfId="1" applyFont="1" applyFill="1" applyBorder="1" applyAlignment="1">
      <alignment wrapText="1"/>
    </xf>
    <xf numFmtId="164" fontId="64" fillId="0" borderId="5" xfId="1" applyFont="1" applyFill="1" applyBorder="1" applyAlignment="1">
      <alignment wrapText="1"/>
    </xf>
    <xf numFmtId="164" fontId="64" fillId="0" borderId="0" xfId="1" applyFont="1" applyFill="1" applyAlignment="1">
      <alignment wrapText="1"/>
    </xf>
    <xf numFmtId="164" fontId="64" fillId="0" borderId="0" xfId="1" applyFont="1" applyAlignment="1">
      <alignment wrapText="1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44" fontId="10" fillId="8" borderId="1" xfId="1" applyNumberFormat="1" applyFont="1" applyFill="1" applyBorder="1"/>
    <xf numFmtId="44" fontId="10" fillId="0" borderId="1" xfId="1" applyNumberFormat="1" applyFont="1" applyBorder="1"/>
    <xf numFmtId="44" fontId="10" fillId="0" borderId="1" xfId="1" applyNumberFormat="1" applyFont="1" applyBorder="1" applyAlignment="1">
      <alignment horizontal="right"/>
    </xf>
    <xf numFmtId="0" fontId="10" fillId="0" borderId="0" xfId="0" applyFont="1"/>
    <xf numFmtId="0" fontId="41" fillId="0" borderId="1" xfId="0" applyFont="1" applyBorder="1"/>
    <xf numFmtId="164" fontId="34" fillId="5" borderId="8" xfId="1" applyFont="1" applyFill="1" applyBorder="1"/>
    <xf numFmtId="0" fontId="42" fillId="2" borderId="23" xfId="0" applyFont="1" applyFill="1" applyBorder="1"/>
    <xf numFmtId="0" fontId="42" fillId="2" borderId="24" xfId="0" applyFont="1" applyFill="1" applyBorder="1"/>
    <xf numFmtId="0" fontId="17" fillId="2" borderId="24" xfId="0" applyFont="1" applyFill="1" applyBorder="1"/>
    <xf numFmtId="0" fontId="17" fillId="2" borderId="25" xfId="0" applyFont="1" applyFill="1" applyBorder="1"/>
    <xf numFmtId="0" fontId="66" fillId="0" borderId="0" xfId="0" applyFont="1"/>
    <xf numFmtId="0" fontId="65" fillId="0" borderId="1" xfId="0" applyFont="1" applyBorder="1"/>
    <xf numFmtId="44" fontId="41" fillId="8" borderId="1" xfId="1" applyNumberFormat="1" applyFont="1" applyFill="1" applyBorder="1" applyAlignment="1">
      <alignment horizontal="right"/>
    </xf>
    <xf numFmtId="44" fontId="41" fillId="10" borderId="1" xfId="0" applyNumberFormat="1" applyFont="1" applyFill="1" applyBorder="1"/>
    <xf numFmtId="0" fontId="9" fillId="0" borderId="1" xfId="0" applyFont="1" applyBorder="1"/>
    <xf numFmtId="0" fontId="8" fillId="0" borderId="1" xfId="0" applyFont="1" applyBorder="1"/>
    <xf numFmtId="0" fontId="67" fillId="0" borderId="0" xfId="0" applyFont="1"/>
    <xf numFmtId="0" fontId="68" fillId="0" borderId="0" xfId="0" applyFont="1"/>
    <xf numFmtId="44" fontId="7" fillId="0" borderId="1" xfId="0" applyNumberFormat="1" applyFont="1" applyBorder="1"/>
    <xf numFmtId="0" fontId="31" fillId="0" borderId="6" xfId="0" applyFont="1" applyBorder="1"/>
    <xf numFmtId="164" fontId="41" fillId="0" borderId="1" xfId="1" applyFont="1" applyBorder="1" applyAlignment="1">
      <alignment wrapText="1"/>
    </xf>
    <xf numFmtId="0" fontId="6" fillId="0" borderId="1" xfId="0" applyFont="1" applyBorder="1"/>
    <xf numFmtId="44" fontId="6" fillId="8" borderId="1" xfId="1" applyNumberFormat="1" applyFont="1" applyFill="1" applyBorder="1"/>
    <xf numFmtId="44" fontId="6" fillId="0" borderId="11" xfId="1" applyNumberFormat="1" applyFont="1" applyBorder="1"/>
    <xf numFmtId="44" fontId="6" fillId="0" borderId="11" xfId="1" applyNumberFormat="1" applyFont="1" applyBorder="1" applyAlignment="1">
      <alignment horizontal="right"/>
    </xf>
    <xf numFmtId="0" fontId="6" fillId="0" borderId="0" xfId="0" applyFont="1"/>
    <xf numFmtId="164" fontId="5" fillId="7" borderId="5" xfId="1" applyFont="1" applyFill="1" applyBorder="1" applyAlignment="1">
      <alignment wrapText="1"/>
    </xf>
    <xf numFmtId="0" fontId="5" fillId="0" borderId="13" xfId="0" applyFont="1" applyBorder="1" applyAlignment="1">
      <alignment wrapText="1"/>
    </xf>
    <xf numFmtId="164" fontId="7" fillId="18" borderId="0" xfId="1" applyFont="1" applyFill="1" applyAlignment="1">
      <alignment wrapText="1"/>
    </xf>
    <xf numFmtId="0" fontId="5" fillId="0" borderId="5" xfId="0" applyFont="1" applyBorder="1" applyAlignment="1">
      <alignment wrapText="1"/>
    </xf>
    <xf numFmtId="0" fontId="5" fillId="0" borderId="7" xfId="0" applyFont="1" applyBorder="1" applyAlignment="1">
      <alignment horizontal="left" wrapText="1"/>
    </xf>
    <xf numFmtId="0" fontId="5" fillId="0" borderId="7" xfId="0" applyFont="1" applyBorder="1"/>
    <xf numFmtId="164" fontId="5" fillId="0" borderId="1" xfId="1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5" xfId="0" applyFont="1" applyBorder="1" applyAlignment="1">
      <alignment horizontal="right" wrapText="1"/>
    </xf>
    <xf numFmtId="164" fontId="5" fillId="6" borderId="5" xfId="1" applyFont="1" applyFill="1" applyBorder="1" applyAlignment="1">
      <alignment wrapText="1"/>
    </xf>
    <xf numFmtId="164" fontId="5" fillId="0" borderId="5" xfId="1" applyFont="1" applyFill="1" applyBorder="1" applyAlignment="1">
      <alignment wrapText="1"/>
    </xf>
    <xf numFmtId="164" fontId="5" fillId="0" borderId="0" xfId="1" applyFont="1" applyFill="1" applyAlignment="1">
      <alignment wrapText="1"/>
    </xf>
    <xf numFmtId="164" fontId="5" fillId="0" borderId="0" xfId="1" applyFont="1" applyAlignment="1">
      <alignment wrapText="1"/>
    </xf>
    <xf numFmtId="0" fontId="69" fillId="0" borderId="0" xfId="0" applyFont="1"/>
    <xf numFmtId="0" fontId="34" fillId="5" borderId="8" xfId="0" applyFont="1" applyFill="1" applyBorder="1"/>
    <xf numFmtId="0" fontId="31" fillId="5" borderId="11" xfId="0" applyFont="1" applyFill="1" applyBorder="1"/>
    <xf numFmtId="44" fontId="31" fillId="5" borderId="26" xfId="0" applyNumberFormat="1" applyFont="1" applyFill="1" applyBorder="1"/>
    <xf numFmtId="44" fontId="31" fillId="5" borderId="11" xfId="0" applyNumberFormat="1" applyFont="1" applyFill="1" applyBorder="1"/>
    <xf numFmtId="44" fontId="31" fillId="5" borderId="5" xfId="0" applyNumberFormat="1" applyFont="1" applyFill="1" applyBorder="1"/>
    <xf numFmtId="0" fontId="4" fillId="0" borderId="1" xfId="0" applyFont="1" applyBorder="1"/>
    <xf numFmtId="0" fontId="6" fillId="0" borderId="1" xfId="0" applyFont="1" applyBorder="1" applyAlignment="1">
      <alignment horizontal="center"/>
    </xf>
    <xf numFmtId="44" fontId="4" fillId="0" borderId="1" xfId="1" applyNumberFormat="1" applyFont="1" applyBorder="1"/>
    <xf numFmtId="0" fontId="4" fillId="0" borderId="0" xfId="0" applyFont="1"/>
    <xf numFmtId="44" fontId="4" fillId="0" borderId="0" xfId="0" applyNumberFormat="1" applyFont="1"/>
    <xf numFmtId="0" fontId="4" fillId="0" borderId="10" xfId="0" applyFont="1" applyBorder="1"/>
    <xf numFmtId="44" fontId="4" fillId="10" borderId="1" xfId="0" applyNumberFormat="1" applyFont="1" applyFill="1" applyBorder="1"/>
    <xf numFmtId="44" fontId="4" fillId="8" borderId="6" xfId="0" applyNumberFormat="1" applyFont="1" applyFill="1" applyBorder="1"/>
    <xf numFmtId="44" fontId="4" fillId="0" borderId="1" xfId="0" applyNumberFormat="1" applyFont="1" applyBorder="1"/>
    <xf numFmtId="44" fontId="4" fillId="6" borderId="1" xfId="0" applyNumberFormat="1" applyFont="1" applyFill="1" applyBorder="1"/>
    <xf numFmtId="44" fontId="4" fillId="0" borderId="1" xfId="1" applyNumberFormat="1" applyFont="1" applyFill="1" applyBorder="1" applyAlignment="1">
      <alignment horizontal="right" wrapText="1"/>
    </xf>
    <xf numFmtId="44" fontId="4" fillId="0" borderId="10" xfId="1" applyNumberFormat="1" applyFont="1" applyBorder="1" applyAlignment="1">
      <alignment horizontal="right" wrapText="1"/>
    </xf>
    <xf numFmtId="165" fontId="4" fillId="0" borderId="0" xfId="0" applyNumberFormat="1" applyFont="1"/>
    <xf numFmtId="2" fontId="4" fillId="0" borderId="0" xfId="0" applyNumberFormat="1" applyFont="1"/>
    <xf numFmtId="164" fontId="32" fillId="0" borderId="0" xfId="1" applyFont="1" applyFill="1" applyBorder="1"/>
    <xf numFmtId="0" fontId="70" fillId="0" borderId="1" xfId="0" applyFont="1" applyBorder="1"/>
    <xf numFmtId="44" fontId="71" fillId="6" borderId="1" xfId="1" applyNumberFormat="1" applyFont="1" applyFill="1" applyBorder="1" applyAlignment="1">
      <alignment horizontal="right"/>
    </xf>
    <xf numFmtId="164" fontId="72" fillId="7" borderId="5" xfId="1" applyFont="1" applyFill="1" applyBorder="1" applyAlignment="1">
      <alignment wrapText="1"/>
    </xf>
    <xf numFmtId="164" fontId="42" fillId="7" borderId="5" xfId="1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41" fillId="0" borderId="1" xfId="0" applyFont="1" applyBorder="1" applyAlignment="1">
      <alignment wrapText="1"/>
    </xf>
    <xf numFmtId="0" fontId="41" fillId="0" borderId="1" xfId="0" applyFont="1" applyBorder="1" applyAlignment="1">
      <alignment horizontal="left" wrapText="1"/>
    </xf>
    <xf numFmtId="0" fontId="41" fillId="0" borderId="1" xfId="0" applyFont="1" applyBorder="1" applyAlignment="1">
      <alignment horizontal="right" wrapText="1"/>
    </xf>
    <xf numFmtId="164" fontId="41" fillId="7" borderId="1" xfId="1" applyFont="1" applyFill="1" applyBorder="1" applyAlignment="1">
      <alignment wrapText="1"/>
    </xf>
    <xf numFmtId="164" fontId="41" fillId="6" borderId="1" xfId="1" applyFont="1" applyFill="1" applyBorder="1" applyAlignment="1">
      <alignment wrapText="1"/>
    </xf>
    <xf numFmtId="164" fontId="41" fillId="0" borderId="1" xfId="1" applyFont="1" applyFill="1" applyBorder="1" applyAlignment="1">
      <alignment wrapText="1"/>
    </xf>
    <xf numFmtId="44" fontId="4" fillId="10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44" fontId="42" fillId="10" borderId="1" xfId="0" applyNumberFormat="1" applyFont="1" applyFill="1" applyBorder="1" applyAlignment="1">
      <alignment horizontal="center" wrapText="1"/>
    </xf>
    <xf numFmtId="44" fontId="42" fillId="10" borderId="1" xfId="0" applyNumberFormat="1" applyFont="1" applyFill="1" applyBorder="1"/>
    <xf numFmtId="44" fontId="73" fillId="6" borderId="1" xfId="1" applyNumberFormat="1" applyFont="1" applyFill="1" applyBorder="1" applyAlignment="1">
      <alignment horizontal="right"/>
    </xf>
    <xf numFmtId="164" fontId="3" fillId="0" borderId="0" xfId="1" applyFont="1" applyFill="1" applyAlignment="1">
      <alignment wrapText="1"/>
    </xf>
    <xf numFmtId="164" fontId="3" fillId="0" borderId="0" xfId="1" applyFont="1" applyAlignment="1">
      <alignment wrapText="1"/>
    </xf>
    <xf numFmtId="164" fontId="3" fillId="18" borderId="27" xfId="1" applyFont="1" applyFill="1" applyBorder="1" applyAlignment="1">
      <alignment wrapText="1"/>
    </xf>
    <xf numFmtId="164" fontId="3" fillId="0" borderId="5" xfId="1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164" fontId="3" fillId="0" borderId="1" xfId="1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64" fontId="3" fillId="7" borderId="1" xfId="1" applyFont="1" applyFill="1" applyBorder="1" applyAlignment="1">
      <alignment wrapText="1"/>
    </xf>
    <xf numFmtId="164" fontId="3" fillId="6" borderId="1" xfId="1" applyFont="1" applyFill="1" applyBorder="1" applyAlignment="1">
      <alignment wrapText="1"/>
    </xf>
    <xf numFmtId="164" fontId="3" fillId="0" borderId="1" xfId="1" applyFont="1" applyFill="1" applyBorder="1" applyAlignment="1">
      <alignment wrapText="1"/>
    </xf>
    <xf numFmtId="44" fontId="41" fillId="8" borderId="11" xfId="1" applyNumberFormat="1" applyFont="1" applyFill="1" applyBorder="1"/>
    <xf numFmtId="44" fontId="41" fillId="0" borderId="11" xfId="1" applyNumberFormat="1" applyFont="1" applyBorder="1"/>
    <xf numFmtId="44" fontId="41" fillId="0" borderId="11" xfId="1" applyNumberFormat="1" applyFont="1" applyBorder="1" applyAlignment="1">
      <alignment horizontal="right"/>
    </xf>
    <xf numFmtId="44" fontId="3" fillId="8" borderId="1" xfId="1" applyNumberFormat="1" applyFont="1" applyFill="1" applyBorder="1"/>
    <xf numFmtId="44" fontId="3" fillId="0" borderId="1" xfId="1" applyNumberFormat="1" applyFont="1" applyBorder="1"/>
    <xf numFmtId="44" fontId="3" fillId="0" borderId="1" xfId="1" applyNumberFormat="1" applyFont="1" applyBorder="1" applyAlignment="1">
      <alignment horizontal="right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41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/>
    <xf numFmtId="164" fontId="2" fillId="0" borderId="1" xfId="1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right" wrapText="1"/>
    </xf>
    <xf numFmtId="164" fontId="2" fillId="7" borderId="1" xfId="1" applyFont="1" applyFill="1" applyBorder="1" applyAlignment="1">
      <alignment wrapText="1"/>
    </xf>
    <xf numFmtId="164" fontId="2" fillId="6" borderId="1" xfId="1" applyFont="1" applyFill="1" applyBorder="1" applyAlignment="1">
      <alignment wrapText="1"/>
    </xf>
    <xf numFmtId="164" fontId="2" fillId="0" borderId="1" xfId="1" applyFont="1" applyFill="1" applyBorder="1" applyAlignment="1">
      <alignment wrapText="1"/>
    </xf>
    <xf numFmtId="164" fontId="2" fillId="0" borderId="0" xfId="1" applyFont="1" applyFill="1" applyAlignment="1">
      <alignment wrapText="1"/>
    </xf>
    <xf numFmtId="164" fontId="2" fillId="0" borderId="0" xfId="1" applyFont="1" applyAlignment="1">
      <alignment wrapText="1"/>
    </xf>
    <xf numFmtId="44" fontId="2" fillId="8" borderId="11" xfId="1" applyNumberFormat="1" applyFont="1" applyFill="1" applyBorder="1"/>
    <xf numFmtId="44" fontId="2" fillId="0" borderId="11" xfId="1" applyNumberFormat="1" applyFont="1" applyBorder="1"/>
    <xf numFmtId="44" fontId="2" fillId="0" borderId="11" xfId="1" applyNumberFormat="1" applyFont="1" applyBorder="1" applyAlignment="1">
      <alignment horizontal="right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 horizontal="right" wrapText="1"/>
    </xf>
    <xf numFmtId="0" fontId="2" fillId="0" borderId="7" xfId="0" applyFont="1" applyBorder="1" applyAlignment="1">
      <alignment horizontal="left" wrapText="1"/>
    </xf>
    <xf numFmtId="0" fontId="74" fillId="0" borderId="7" xfId="0" applyFont="1" applyBorder="1" applyAlignment="1">
      <alignment horizontal="left" wrapText="1"/>
    </xf>
    <xf numFmtId="0" fontId="4" fillId="0" borderId="5" xfId="0" applyFont="1" applyBorder="1" applyAlignment="1">
      <alignment wrapText="1"/>
    </xf>
    <xf numFmtId="0" fontId="4" fillId="0" borderId="7" xfId="0" applyFont="1" applyBorder="1" applyAlignment="1">
      <alignment horizontal="left" wrapText="1"/>
    </xf>
    <xf numFmtId="0" fontId="4" fillId="0" borderId="7" xfId="0" applyFont="1" applyBorder="1"/>
    <xf numFmtId="0" fontId="4" fillId="0" borderId="13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5" xfId="0" applyFont="1" applyBorder="1" applyAlignment="1">
      <alignment horizontal="right" wrapText="1"/>
    </xf>
    <xf numFmtId="164" fontId="4" fillId="0" borderId="5" xfId="1" applyFont="1" applyFill="1" applyBorder="1" applyAlignment="1">
      <alignment wrapText="1"/>
    </xf>
    <xf numFmtId="164" fontId="4" fillId="0" borderId="0" xfId="1" applyFont="1" applyFill="1" applyAlignment="1">
      <alignment wrapText="1"/>
    </xf>
    <xf numFmtId="164" fontId="4" fillId="0" borderId="1" xfId="1" applyFont="1" applyFill="1" applyBorder="1" applyAlignment="1">
      <alignment wrapText="1"/>
    </xf>
    <xf numFmtId="0" fontId="36" fillId="3" borderId="1" xfId="0" applyFont="1" applyFill="1" applyBorder="1"/>
    <xf numFmtId="44" fontId="31" fillId="3" borderId="1" xfId="1" applyNumberFormat="1" applyFont="1" applyFill="1" applyBorder="1" applyAlignment="1">
      <alignment horizontal="right"/>
    </xf>
    <xf numFmtId="44" fontId="34" fillId="3" borderId="1" xfId="1" applyNumberFormat="1" applyFont="1" applyFill="1" applyBorder="1" applyAlignment="1">
      <alignment horizontal="right"/>
    </xf>
    <xf numFmtId="0" fontId="75" fillId="0" borderId="0" xfId="0" applyFont="1"/>
    <xf numFmtId="0" fontId="68" fillId="0" borderId="1" xfId="0" applyFont="1" applyBorder="1"/>
    <xf numFmtId="44" fontId="41" fillId="0" borderId="1" xfId="1" applyNumberFormat="1" applyFont="1" applyBorder="1"/>
    <xf numFmtId="44" fontId="68" fillId="10" borderId="12" xfId="1" applyNumberFormat="1" applyFont="1" applyFill="1" applyBorder="1" applyAlignment="1">
      <alignment horizontal="right"/>
    </xf>
    <xf numFmtId="0" fontId="68" fillId="3" borderId="7" xfId="0" applyFont="1" applyFill="1" applyBorder="1" applyAlignment="1">
      <alignment horizontal="left" vertical="top"/>
    </xf>
    <xf numFmtId="0" fontId="41" fillId="0" borderId="11" xfId="0" applyFont="1" applyBorder="1"/>
    <xf numFmtId="44" fontId="41" fillId="0" borderId="1" xfId="0" applyNumberFormat="1" applyFont="1" applyBorder="1"/>
    <xf numFmtId="44" fontId="68" fillId="10" borderId="12" xfId="0" applyNumberFormat="1" applyFont="1" applyFill="1" applyBorder="1"/>
    <xf numFmtId="0" fontId="76" fillId="0" borderId="0" xfId="0" applyFont="1"/>
    <xf numFmtId="0" fontId="17" fillId="0" borderId="11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51" fillId="0" borderId="0" xfId="28" applyFont="1" applyAlignment="1">
      <alignment vertical="center"/>
    </xf>
    <xf numFmtId="0" fontId="50" fillId="0" borderId="0" xfId="28" applyFont="1" applyAlignment="1">
      <alignment horizontal="left" vertical="center"/>
    </xf>
    <xf numFmtId="0" fontId="51" fillId="0" borderId="0" xfId="28" applyFont="1" applyAlignment="1">
      <alignment horizontal="left" vertical="center"/>
    </xf>
    <xf numFmtId="0" fontId="56" fillId="0" borderId="0" xfId="28" applyFont="1" applyAlignment="1">
      <alignment horizontal="left" vertical="center" wrapText="1"/>
    </xf>
    <xf numFmtId="0" fontId="56" fillId="0" borderId="0" xfId="28" applyFont="1" applyAlignment="1">
      <alignment horizontal="left" vertical="center"/>
    </xf>
    <xf numFmtId="0" fontId="51" fillId="0" borderId="0" xfId="28" applyFont="1" applyAlignment="1">
      <alignment horizontal="left" vertical="center" wrapText="1"/>
    </xf>
    <xf numFmtId="0" fontId="51" fillId="0" borderId="0" xfId="28" applyFont="1" applyAlignment="1">
      <alignment wrapText="1"/>
    </xf>
    <xf numFmtId="0" fontId="51" fillId="0" borderId="22" xfId="28" applyFont="1" applyBorder="1" applyAlignment="1">
      <alignment wrapText="1"/>
    </xf>
    <xf numFmtId="0" fontId="36" fillId="0" borderId="10" xfId="21" applyFont="1" applyBorder="1" applyAlignment="1">
      <alignment horizontal="center"/>
    </xf>
    <xf numFmtId="0" fontId="36" fillId="0" borderId="3" xfId="21" applyFont="1" applyBorder="1" applyAlignment="1">
      <alignment horizontal="center"/>
    </xf>
    <xf numFmtId="0" fontId="36" fillId="0" borderId="6" xfId="21" applyFont="1" applyBorder="1" applyAlignment="1">
      <alignment horizontal="center"/>
    </xf>
    <xf numFmtId="0" fontId="1" fillId="9" borderId="1" xfId="0" applyFont="1" applyFill="1" applyBorder="1" applyAlignment="1">
      <alignment horizontal="left" wrapText="1"/>
    </xf>
    <xf numFmtId="0" fontId="11" fillId="9" borderId="1" xfId="0" applyFont="1" applyFill="1" applyBorder="1" applyAlignment="1">
      <alignment horizontal="right" wrapText="1"/>
    </xf>
    <xf numFmtId="0" fontId="17" fillId="9" borderId="1" xfId="0" applyFont="1" applyFill="1" applyBorder="1"/>
    <xf numFmtId="0" fontId="17" fillId="9" borderId="1" xfId="0" applyFont="1" applyFill="1" applyBorder="1" applyAlignment="1">
      <alignment horizontal="right" wrapText="1"/>
    </xf>
    <xf numFmtId="0" fontId="11" fillId="9" borderId="5" xfId="0" applyFont="1" applyFill="1" applyBorder="1" applyAlignment="1">
      <alignment horizontal="right" wrapText="1"/>
    </xf>
    <xf numFmtId="0" fontId="64" fillId="9" borderId="5" xfId="0" applyFont="1" applyFill="1" applyBorder="1" applyAlignment="1">
      <alignment horizontal="right" wrapText="1"/>
    </xf>
    <xf numFmtId="0" fontId="4" fillId="9" borderId="5" xfId="0" applyFont="1" applyFill="1" applyBorder="1" applyAlignment="1">
      <alignment horizontal="right" wrapText="1"/>
    </xf>
    <xf numFmtId="0" fontId="2" fillId="9" borderId="5" xfId="0" applyFont="1" applyFill="1" applyBorder="1" applyAlignment="1">
      <alignment horizontal="right" wrapText="1"/>
    </xf>
    <xf numFmtId="0" fontId="5" fillId="9" borderId="5" xfId="0" applyFont="1" applyFill="1" applyBorder="1" applyAlignment="1">
      <alignment horizontal="right" wrapText="1"/>
    </xf>
    <xf numFmtId="0" fontId="2" fillId="9" borderId="1" xfId="0" applyFont="1" applyFill="1" applyBorder="1" applyAlignment="1">
      <alignment horizontal="right" wrapText="1"/>
    </xf>
    <xf numFmtId="0" fontId="41" fillId="9" borderId="1" xfId="0" applyFont="1" applyFill="1" applyBorder="1" applyAlignment="1">
      <alignment horizontal="right" wrapText="1"/>
    </xf>
    <xf numFmtId="164" fontId="41" fillId="9" borderId="1" xfId="1" applyFont="1" applyFill="1" applyBorder="1" applyAlignment="1">
      <alignment horizontal="right" wrapText="1"/>
    </xf>
    <xf numFmtId="164" fontId="1" fillId="9" borderId="1" xfId="1" applyFont="1" applyFill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164" fontId="35" fillId="0" borderId="28" xfId="1" applyFont="1" applyBorder="1"/>
    <xf numFmtId="164" fontId="35" fillId="0" borderId="12" xfId="1" applyFont="1" applyBorder="1"/>
    <xf numFmtId="164" fontId="36" fillId="6" borderId="12" xfId="1" applyFont="1" applyFill="1" applyBorder="1"/>
    <xf numFmtId="164" fontId="46" fillId="0" borderId="0" xfId="1" applyFont="1"/>
    <xf numFmtId="43" fontId="46" fillId="0" borderId="0" xfId="0" applyNumberFormat="1" applyFont="1"/>
    <xf numFmtId="164" fontId="46" fillId="0" borderId="2" xfId="1" applyFont="1" applyBorder="1"/>
    <xf numFmtId="167" fontId="77" fillId="0" borderId="0" xfId="1" applyNumberFormat="1" applyFont="1" applyFill="1" applyBorder="1"/>
    <xf numFmtId="164" fontId="30" fillId="0" borderId="0" xfId="1" applyFont="1"/>
    <xf numFmtId="44" fontId="68" fillId="10" borderId="1" xfId="0" applyNumberFormat="1" applyFont="1" applyFill="1" applyBorder="1" applyAlignment="1">
      <alignment horizontal="center" wrapText="1"/>
    </xf>
    <xf numFmtId="0" fontId="78" fillId="0" borderId="1" xfId="0" applyFont="1" applyBorder="1"/>
    <xf numFmtId="43" fontId="46" fillId="0" borderId="2" xfId="0" applyNumberFormat="1" applyFont="1" applyBorder="1"/>
    <xf numFmtId="164" fontId="67" fillId="0" borderId="0" xfId="1" applyFont="1"/>
    <xf numFmtId="165" fontId="36" fillId="9" borderId="12" xfId="0" applyNumberFormat="1" applyFont="1" applyFill="1" applyBorder="1"/>
    <xf numFmtId="0" fontId="1" fillId="0" borderId="5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7" xfId="0" applyFont="1" applyBorder="1"/>
    <xf numFmtId="164" fontId="1" fillId="0" borderId="1" xfId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5" xfId="0" applyFont="1" applyBorder="1" applyAlignment="1">
      <alignment horizontal="right" wrapText="1"/>
    </xf>
    <xf numFmtId="0" fontId="1" fillId="9" borderId="5" xfId="0" applyFont="1" applyFill="1" applyBorder="1" applyAlignment="1">
      <alignment horizontal="right" wrapText="1"/>
    </xf>
    <xf numFmtId="164" fontId="1" fillId="7" borderId="5" xfId="1" applyFont="1" applyFill="1" applyBorder="1" applyAlignment="1">
      <alignment wrapText="1"/>
    </xf>
    <xf numFmtId="164" fontId="1" fillId="6" borderId="5" xfId="1" applyFont="1" applyFill="1" applyBorder="1" applyAlignment="1">
      <alignment wrapText="1"/>
    </xf>
    <xf numFmtId="164" fontId="1" fillId="0" borderId="5" xfId="1" applyFont="1" applyFill="1" applyBorder="1" applyAlignment="1">
      <alignment wrapText="1"/>
    </xf>
    <xf numFmtId="164" fontId="1" fillId="18" borderId="0" xfId="1" applyFont="1" applyFill="1" applyAlignment="1">
      <alignment wrapText="1"/>
    </xf>
    <xf numFmtId="164" fontId="1" fillId="0" borderId="0" xfId="1" applyFont="1" applyFill="1" applyAlignment="1">
      <alignment wrapText="1"/>
    </xf>
    <xf numFmtId="164" fontId="1" fillId="0" borderId="0" xfId="1" applyFont="1" applyAlignment="1">
      <alignment wrapText="1"/>
    </xf>
    <xf numFmtId="0" fontId="1" fillId="0" borderId="1" xfId="0" applyFont="1" applyBorder="1" applyAlignment="1">
      <alignment horizontal="right" wrapText="1"/>
    </xf>
    <xf numFmtId="0" fontId="1" fillId="9" borderId="1" xfId="0" applyFont="1" applyFill="1" applyBorder="1" applyAlignment="1">
      <alignment horizontal="right" wrapText="1"/>
    </xf>
    <xf numFmtId="164" fontId="1" fillId="7" borderId="1" xfId="1" applyFont="1" applyFill="1" applyBorder="1" applyAlignment="1">
      <alignment wrapText="1"/>
    </xf>
    <xf numFmtId="164" fontId="1" fillId="6" borderId="1" xfId="1" applyFont="1" applyFill="1" applyBorder="1" applyAlignment="1">
      <alignment wrapText="1"/>
    </xf>
    <xf numFmtId="164" fontId="1" fillId="0" borderId="1" xfId="1" applyFont="1" applyFill="1" applyBorder="1" applyAlignment="1">
      <alignment wrapText="1"/>
    </xf>
    <xf numFmtId="164" fontId="41" fillId="18" borderId="0" xfId="1" applyFont="1" applyFill="1" applyBorder="1" applyAlignment="1">
      <alignment wrapText="1"/>
    </xf>
    <xf numFmtId="0" fontId="74" fillId="0" borderId="1" xfId="0" applyFont="1" applyBorder="1"/>
    <xf numFmtId="0" fontId="1" fillId="0" borderId="0" xfId="0" applyFont="1"/>
    <xf numFmtId="0" fontId="1" fillId="0" borderId="0" xfId="0" applyFont="1" applyAlignment="1">
      <alignment horizontal="right"/>
    </xf>
    <xf numFmtId="164" fontId="1" fillId="0" borderId="26" xfId="1" applyFont="1" applyBorder="1"/>
  </cellXfs>
  <cellStyles count="29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Hyperlink" xfId="2" builtinId="8" hidden="1"/>
    <cellStyle name="Hyperlink" xfId="4" builtinId="8" hidden="1"/>
    <cellStyle name="Hyperlink" xfId="6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2" builtinId="8" hidden="1"/>
    <cellStyle name="Hyperlink" xfId="24" builtinId="8" hidden="1"/>
    <cellStyle name="Hyperlink" xfId="26" builtinId="8" hidden="1"/>
    <cellStyle name="Normal" xfId="0" builtinId="0"/>
    <cellStyle name="Normal 2" xfId="21" xr:uid="{00000000-0005-0000-0000-00001B000000}"/>
    <cellStyle name="Normal 3" xfId="28" xr:uid="{00000000-0005-0000-0000-00001C000000}"/>
    <cellStyle name="Percent" xfId="8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772160</xdr:colOff>
      <xdr:row>20</xdr:row>
      <xdr:rowOff>101600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2C12824-A580-014D-BE48-E2A38AF5A32B}"/>
            </a:ext>
          </a:extLst>
        </xdr:cNvPr>
        <xdr:cNvSpPr txBox="1"/>
      </xdr:nvSpPr>
      <xdr:spPr>
        <a:xfrm>
          <a:off x="7345680" y="4744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772160</xdr:colOff>
      <xdr:row>21</xdr:row>
      <xdr:rowOff>101600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9EFD706-66B7-714A-807F-B1F24B0D7587}"/>
            </a:ext>
          </a:extLst>
        </xdr:cNvPr>
        <xdr:cNvSpPr txBox="1"/>
      </xdr:nvSpPr>
      <xdr:spPr>
        <a:xfrm>
          <a:off x="9751060" y="49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1"/>
  <sheetViews>
    <sheetView tabSelected="1" zoomScale="152" zoomScaleNormal="149" zoomScalePageLayoutView="110" workbookViewId="0">
      <selection activeCell="F6" sqref="F6"/>
    </sheetView>
  </sheetViews>
  <sheetFormatPr baseColWidth="10" defaultColWidth="10.83203125" defaultRowHeight="16"/>
  <cols>
    <col min="1" max="1" width="43.6640625" style="214" customWidth="1"/>
    <col min="2" max="2" width="6.1640625" style="214" bestFit="1" customWidth="1"/>
    <col min="3" max="3" width="11.5" style="214" bestFit="1" customWidth="1"/>
    <col min="4" max="4" width="14.33203125" style="282" bestFit="1" customWidth="1"/>
    <col min="5" max="5" width="9" style="214" bestFit="1" customWidth="1"/>
    <col min="6" max="6" width="29.1640625" style="9" bestFit="1" customWidth="1"/>
    <col min="7" max="7" width="11.5" style="9" customWidth="1"/>
    <col min="8" max="8" width="11.5" style="214" bestFit="1" customWidth="1"/>
    <col min="9" max="9" width="12.1640625" style="289" bestFit="1" customWidth="1"/>
    <col min="10" max="10" width="18.33203125" style="289" customWidth="1"/>
    <col min="11" max="12" width="18.6640625" style="214" customWidth="1"/>
    <col min="13" max="14" width="10.83203125" style="214"/>
    <col min="15" max="15" width="11.1640625" style="9" bestFit="1" customWidth="1"/>
    <col min="16" max="16384" width="10.83203125" style="214"/>
  </cols>
  <sheetData>
    <row r="1" spans="1:15" ht="25" customHeight="1">
      <c r="A1" s="275" t="s">
        <v>263</v>
      </c>
      <c r="B1" s="275"/>
      <c r="C1" s="275"/>
      <c r="D1" s="276"/>
      <c r="F1" s="8"/>
      <c r="G1" s="8"/>
    </row>
    <row r="3" spans="1:15">
      <c r="A3" s="306" t="s">
        <v>261</v>
      </c>
      <c r="B3" s="307"/>
      <c r="C3" s="307"/>
      <c r="D3" s="308" t="s">
        <v>56</v>
      </c>
      <c r="F3" s="306" t="s">
        <v>64</v>
      </c>
      <c r="G3" s="307"/>
      <c r="H3" s="391"/>
      <c r="I3" s="289" t="s">
        <v>348</v>
      </c>
    </row>
    <row r="4" spans="1:15">
      <c r="A4" s="290" t="s">
        <v>342</v>
      </c>
      <c r="B4" s="291"/>
      <c r="C4" s="292"/>
      <c r="D4" s="309">
        <f>49871.33-39.2</f>
        <v>49832.130000000005</v>
      </c>
      <c r="F4" s="293" t="s">
        <v>65</v>
      </c>
      <c r="G4" s="302"/>
      <c r="H4" s="393">
        <f ca="1">D4+C7-C11+C14-'Payments Receipts Cash Book'!I53</f>
        <v>21393.240000000013</v>
      </c>
      <c r="I4" s="294">
        <v>21393.24</v>
      </c>
      <c r="J4" s="294"/>
    </row>
    <row r="5" spans="1:15">
      <c r="A5" s="290" t="s">
        <v>343</v>
      </c>
      <c r="B5" s="291"/>
      <c r="C5" s="292"/>
      <c r="D5" s="309">
        <v>100.79</v>
      </c>
      <c r="E5" s="280" t="s">
        <v>8</v>
      </c>
      <c r="F5" s="355" t="s">
        <v>301</v>
      </c>
      <c r="G5" s="302"/>
      <c r="H5" s="394">
        <f ca="1">D5+C8+C9+'Payments Receipts Cash Book'!I53</f>
        <v>30101.27</v>
      </c>
      <c r="I5" s="294">
        <v>30101.27</v>
      </c>
    </row>
    <row r="6" spans="1:15" ht="17" thickBot="1">
      <c r="A6" s="290" t="s">
        <v>262</v>
      </c>
      <c r="B6" s="292"/>
      <c r="C6" s="295"/>
      <c r="D6" s="309"/>
      <c r="F6" s="312" t="str">
        <f>A16</f>
        <v>Account balances as at 01 11 23</v>
      </c>
      <c r="G6" s="313"/>
      <c r="H6" s="392">
        <f ca="1">SUM(H4:H5)</f>
        <v>51494.510000000009</v>
      </c>
      <c r="I6" s="294">
        <f>SUM(I4:I5)</f>
        <v>51494.51</v>
      </c>
      <c r="J6" s="294" t="b">
        <f ca="1">I6=H6</f>
        <v>1</v>
      </c>
    </row>
    <row r="7" spans="1:15" ht="17" thickTop="1">
      <c r="A7" s="390" t="s">
        <v>65</v>
      </c>
      <c r="B7" s="292"/>
      <c r="C7" s="296">
        <f>'Payments Receipts Cash Book'!E12</f>
        <v>36344.82</v>
      </c>
      <c r="D7" s="309" t="s">
        <v>8</v>
      </c>
      <c r="F7" s="297"/>
      <c r="G7" s="297"/>
      <c r="H7" s="280"/>
      <c r="I7" s="294"/>
      <c r="J7" s="294"/>
    </row>
    <row r="8" spans="1:15">
      <c r="A8" s="290" t="s">
        <v>344</v>
      </c>
      <c r="B8" s="292"/>
      <c r="C8" s="291">
        <f>0.21</f>
        <v>0.21</v>
      </c>
      <c r="D8" s="310">
        <v>0</v>
      </c>
      <c r="F8" s="18"/>
      <c r="G8" s="18"/>
      <c r="H8" s="280"/>
      <c r="I8" s="214"/>
      <c r="J8" s="214"/>
      <c r="L8" s="9"/>
      <c r="O8" s="214"/>
    </row>
    <row r="9" spans="1:15">
      <c r="A9" s="290" t="s">
        <v>358</v>
      </c>
      <c r="B9" s="292"/>
      <c r="C9" s="291">
        <v>0.27</v>
      </c>
      <c r="D9" s="310">
        <f>SUM(C7:C9)</f>
        <v>36345.299999999996</v>
      </c>
      <c r="F9" s="18"/>
      <c r="G9" s="18"/>
      <c r="H9" s="280"/>
      <c r="I9" s="214"/>
      <c r="J9" s="214"/>
      <c r="L9" s="9"/>
      <c r="O9" s="214"/>
    </row>
    <row r="10" spans="1:15">
      <c r="A10" s="290"/>
      <c r="B10" s="292"/>
      <c r="C10" s="291"/>
      <c r="D10" s="310"/>
      <c r="F10" s="18"/>
      <c r="G10" s="18"/>
      <c r="H10" s="280"/>
      <c r="I10" s="214"/>
      <c r="J10" s="214"/>
      <c r="L10" s="9"/>
      <c r="O10" s="214"/>
    </row>
    <row r="11" spans="1:15">
      <c r="A11" s="290" t="s">
        <v>311</v>
      </c>
      <c r="B11" s="292"/>
      <c r="C11" s="291">
        <f ca="1">'Payments Receipts Cash Book'!J53</f>
        <v>34783.71</v>
      </c>
      <c r="D11" s="310">
        <f ca="1">C11</f>
        <v>34783.71</v>
      </c>
      <c r="F11" s="18"/>
      <c r="G11" s="18"/>
      <c r="H11" s="280"/>
      <c r="I11" s="214"/>
      <c r="J11" s="214"/>
      <c r="L11" s="9"/>
      <c r="O11" s="214"/>
    </row>
    <row r="12" spans="1:15">
      <c r="A12" s="290" t="s">
        <v>34</v>
      </c>
      <c r="B12" s="292"/>
      <c r="C12" s="291"/>
      <c r="D12" s="310"/>
      <c r="F12" s="18"/>
      <c r="G12" s="18"/>
      <c r="H12" s="280"/>
      <c r="I12" s="214"/>
      <c r="J12" s="214"/>
      <c r="L12" s="9"/>
      <c r="O12" s="214"/>
    </row>
    <row r="13" spans="1:15">
      <c r="A13" s="290"/>
      <c r="B13" s="292"/>
      <c r="C13" s="291"/>
      <c r="D13" s="310"/>
      <c r="F13" s="18"/>
      <c r="G13" s="18"/>
      <c r="H13" s="280"/>
      <c r="I13" s="214"/>
      <c r="J13" s="214"/>
      <c r="L13" s="9"/>
      <c r="O13" s="214"/>
    </row>
    <row r="14" spans="1:15">
      <c r="A14" s="290" t="s">
        <v>345</v>
      </c>
      <c r="B14" s="292"/>
      <c r="C14" s="291">
        <v>0</v>
      </c>
      <c r="D14" s="310">
        <v>0</v>
      </c>
      <c r="I14" s="214"/>
      <c r="J14" s="214"/>
      <c r="L14" s="9"/>
      <c r="O14" s="214"/>
    </row>
    <row r="15" spans="1:15">
      <c r="A15" s="390" t="s">
        <v>61</v>
      </c>
      <c r="B15" s="292"/>
      <c r="C15" s="291">
        <v>0</v>
      </c>
      <c r="D15" s="310">
        <f>SUM(C14:C15)</f>
        <v>0</v>
      </c>
      <c r="I15" s="214"/>
      <c r="J15" s="214"/>
      <c r="L15" s="9"/>
      <c r="O15" s="214"/>
    </row>
    <row r="16" spans="1:15" ht="17" thickBot="1">
      <c r="A16" s="306" t="s">
        <v>412</v>
      </c>
      <c r="B16" s="314"/>
      <c r="C16" s="315"/>
      <c r="D16" s="311">
        <f ca="1">D4+D5+D9-D11+D15</f>
        <v>51494.51</v>
      </c>
    </row>
    <row r="17" spans="4:15" ht="17" thickTop="1">
      <c r="D17" s="282" t="b">
        <f ca="1">D16=H6</f>
        <v>1</v>
      </c>
    </row>
    <row r="18" spans="4:15">
      <c r="E18" s="280"/>
      <c r="O18" s="18"/>
    </row>
    <row r="19" spans="4:15">
      <c r="E19" s="280"/>
      <c r="I19" s="298"/>
    </row>
    <row r="20" spans="4:15">
      <c r="E20" s="280"/>
      <c r="I20" s="298"/>
    </row>
    <row r="24" spans="4:15">
      <c r="D24" s="214"/>
    </row>
    <row r="25" spans="4:15">
      <c r="D25" s="214"/>
    </row>
    <row r="26" spans="4:15">
      <c r="D26" s="214"/>
    </row>
    <row r="27" spans="4:15">
      <c r="D27" s="214"/>
    </row>
    <row r="28" spans="4:15">
      <c r="D28" s="214"/>
    </row>
    <row r="29" spans="4:15">
      <c r="D29" s="214"/>
    </row>
    <row r="30" spans="4:15">
      <c r="D30" s="214"/>
    </row>
    <row r="31" spans="4:15">
      <c r="D31" s="214"/>
    </row>
    <row r="32" spans="4:15">
      <c r="D32" s="214"/>
    </row>
    <row r="33" spans="1:15">
      <c r="D33" s="214"/>
    </row>
    <row r="34" spans="1:15">
      <c r="D34" s="214"/>
    </row>
    <row r="35" spans="1:15">
      <c r="D35" s="214"/>
    </row>
    <row r="36" spans="1:15">
      <c r="D36" s="214"/>
      <c r="F36" s="289"/>
      <c r="G36" s="289"/>
      <c r="H36" s="11"/>
    </row>
    <row r="37" spans="1:15">
      <c r="D37" s="214"/>
      <c r="F37" s="289"/>
      <c r="G37" s="289"/>
      <c r="H37" s="11"/>
    </row>
    <row r="38" spans="1:15">
      <c r="D38" s="214"/>
    </row>
    <row r="40" spans="1:15">
      <c r="A40" s="276"/>
      <c r="B40" s="276"/>
      <c r="C40" s="300"/>
      <c r="D40" s="299"/>
    </row>
    <row r="41" spans="1:15">
      <c r="E41" s="299"/>
      <c r="J41" s="214"/>
      <c r="N41" s="9"/>
      <c r="O41" s="214"/>
    </row>
  </sheetData>
  <customSheetViews>
    <customSheetView guid="{D77C52FB-56C3-AF47-AD29-EE07F130855B}" showPageBreaks="1" fitToPage="1" printArea="1" topLeftCell="A2">
      <selection activeCell="A18" sqref="A18"/>
      <pageMargins left="0.7" right="0.7" top="0.75" bottom="0.75" header="0.3" footer="0.3"/>
      <pageSetup paperSize="9" scale="65" orientation="portrait" copies="8" r:id="rId1"/>
    </customSheetView>
  </customSheetViews>
  <phoneticPr fontId="27" type="noConversion"/>
  <pageMargins left="0.7" right="0.7" top="0.75" bottom="0.75" header="0.3" footer="0.3"/>
  <pageSetup paperSize="9" scale="90" orientation="landscape" copies="3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F1CAE-948A-864F-AC40-4EFA45BA0920}">
  <sheetPr>
    <pageSetUpPr fitToPage="1"/>
  </sheetPr>
  <dimension ref="A1:V40"/>
  <sheetViews>
    <sheetView topLeftCell="A5" zoomScale="156" zoomScaleNormal="80" workbookViewId="0">
      <selection activeCell="D11" sqref="D11"/>
    </sheetView>
  </sheetViews>
  <sheetFormatPr baseColWidth="10" defaultColWidth="9.1640625" defaultRowHeight="14"/>
  <cols>
    <col min="1" max="1" width="10.83203125" style="233" customWidth="1"/>
    <col min="2" max="2" width="9.1640625" style="233"/>
    <col min="3" max="3" width="32.5" style="233" customWidth="1"/>
    <col min="4" max="4" width="9.1640625" style="233"/>
    <col min="5" max="5" width="3.33203125" style="233" customWidth="1"/>
    <col min="6" max="6" width="9.1640625" style="233"/>
    <col min="7" max="7" width="10.1640625" style="233" customWidth="1"/>
    <col min="8" max="8" width="12.33203125" style="233" bestFit="1" customWidth="1"/>
    <col min="9" max="11" width="9.1640625" style="233" hidden="1" customWidth="1"/>
    <col min="12" max="12" width="13.33203125" style="233" customWidth="1"/>
    <col min="13" max="13" width="50.5" style="232" bestFit="1" customWidth="1"/>
    <col min="14" max="14" width="86" style="233" bestFit="1" customWidth="1"/>
    <col min="15" max="256" width="9.1640625" style="233"/>
    <col min="257" max="257" width="10.83203125" style="233" customWidth="1"/>
    <col min="258" max="258" width="9.1640625" style="233"/>
    <col min="259" max="259" width="32.5" style="233" customWidth="1"/>
    <col min="260" max="260" width="9.1640625" style="233"/>
    <col min="261" max="261" width="3.33203125" style="233" customWidth="1"/>
    <col min="262" max="262" width="9.1640625" style="233"/>
    <col min="263" max="263" width="10.1640625" style="233" customWidth="1"/>
    <col min="264" max="264" width="9.5" style="233" customWidth="1"/>
    <col min="265" max="267" width="0" style="233" hidden="1" customWidth="1"/>
    <col min="268" max="268" width="13.33203125" style="233" customWidth="1"/>
    <col min="269" max="269" width="50.5" style="233" bestFit="1" customWidth="1"/>
    <col min="270" max="270" width="86" style="233" bestFit="1" customWidth="1"/>
    <col min="271" max="512" width="9.1640625" style="233"/>
    <col min="513" max="513" width="10.83203125" style="233" customWidth="1"/>
    <col min="514" max="514" width="9.1640625" style="233"/>
    <col min="515" max="515" width="32.5" style="233" customWidth="1"/>
    <col min="516" max="516" width="9.1640625" style="233"/>
    <col min="517" max="517" width="3.33203125" style="233" customWidth="1"/>
    <col min="518" max="518" width="9.1640625" style="233"/>
    <col min="519" max="519" width="10.1640625" style="233" customWidth="1"/>
    <col min="520" max="520" width="9.5" style="233" customWidth="1"/>
    <col min="521" max="523" width="0" style="233" hidden="1" customWidth="1"/>
    <col min="524" max="524" width="13.33203125" style="233" customWidth="1"/>
    <col min="525" max="525" width="50.5" style="233" bestFit="1" customWidth="1"/>
    <col min="526" max="526" width="86" style="233" bestFit="1" customWidth="1"/>
    <col min="527" max="768" width="9.1640625" style="233"/>
    <col min="769" max="769" width="10.83203125" style="233" customWidth="1"/>
    <col min="770" max="770" width="9.1640625" style="233"/>
    <col min="771" max="771" width="32.5" style="233" customWidth="1"/>
    <col min="772" max="772" width="9.1640625" style="233"/>
    <col min="773" max="773" width="3.33203125" style="233" customWidth="1"/>
    <col min="774" max="774" width="9.1640625" style="233"/>
    <col min="775" max="775" width="10.1640625" style="233" customWidth="1"/>
    <col min="776" max="776" width="9.5" style="233" customWidth="1"/>
    <col min="777" max="779" width="0" style="233" hidden="1" customWidth="1"/>
    <col min="780" max="780" width="13.33203125" style="233" customWidth="1"/>
    <col min="781" max="781" width="50.5" style="233" bestFit="1" customWidth="1"/>
    <col min="782" max="782" width="86" style="233" bestFit="1" customWidth="1"/>
    <col min="783" max="1024" width="9.1640625" style="233"/>
    <col min="1025" max="1025" width="10.83203125" style="233" customWidth="1"/>
    <col min="1026" max="1026" width="9.1640625" style="233"/>
    <col min="1027" max="1027" width="32.5" style="233" customWidth="1"/>
    <col min="1028" max="1028" width="9.1640625" style="233"/>
    <col min="1029" max="1029" width="3.33203125" style="233" customWidth="1"/>
    <col min="1030" max="1030" width="9.1640625" style="233"/>
    <col min="1031" max="1031" width="10.1640625" style="233" customWidth="1"/>
    <col min="1032" max="1032" width="9.5" style="233" customWidth="1"/>
    <col min="1033" max="1035" width="0" style="233" hidden="1" customWidth="1"/>
    <col min="1036" max="1036" width="13.33203125" style="233" customWidth="1"/>
    <col min="1037" max="1037" width="50.5" style="233" bestFit="1" customWidth="1"/>
    <col min="1038" max="1038" width="86" style="233" bestFit="1" customWidth="1"/>
    <col min="1039" max="1280" width="9.1640625" style="233"/>
    <col min="1281" max="1281" width="10.83203125" style="233" customWidth="1"/>
    <col min="1282" max="1282" width="9.1640625" style="233"/>
    <col min="1283" max="1283" width="32.5" style="233" customWidth="1"/>
    <col min="1284" max="1284" width="9.1640625" style="233"/>
    <col min="1285" max="1285" width="3.33203125" style="233" customWidth="1"/>
    <col min="1286" max="1286" width="9.1640625" style="233"/>
    <col min="1287" max="1287" width="10.1640625" style="233" customWidth="1"/>
    <col min="1288" max="1288" width="9.5" style="233" customWidth="1"/>
    <col min="1289" max="1291" width="0" style="233" hidden="1" customWidth="1"/>
    <col min="1292" max="1292" width="13.33203125" style="233" customWidth="1"/>
    <col min="1293" max="1293" width="50.5" style="233" bestFit="1" customWidth="1"/>
    <col min="1294" max="1294" width="86" style="233" bestFit="1" customWidth="1"/>
    <col min="1295" max="1536" width="9.1640625" style="233"/>
    <col min="1537" max="1537" width="10.83203125" style="233" customWidth="1"/>
    <col min="1538" max="1538" width="9.1640625" style="233"/>
    <col min="1539" max="1539" width="32.5" style="233" customWidth="1"/>
    <col min="1540" max="1540" width="9.1640625" style="233"/>
    <col min="1541" max="1541" width="3.33203125" style="233" customWidth="1"/>
    <col min="1542" max="1542" width="9.1640625" style="233"/>
    <col min="1543" max="1543" width="10.1640625" style="233" customWidth="1"/>
    <col min="1544" max="1544" width="9.5" style="233" customWidth="1"/>
    <col min="1545" max="1547" width="0" style="233" hidden="1" customWidth="1"/>
    <col min="1548" max="1548" width="13.33203125" style="233" customWidth="1"/>
    <col min="1549" max="1549" width="50.5" style="233" bestFit="1" customWidth="1"/>
    <col min="1550" max="1550" width="86" style="233" bestFit="1" customWidth="1"/>
    <col min="1551" max="1792" width="9.1640625" style="233"/>
    <col min="1793" max="1793" width="10.83203125" style="233" customWidth="1"/>
    <col min="1794" max="1794" width="9.1640625" style="233"/>
    <col min="1795" max="1795" width="32.5" style="233" customWidth="1"/>
    <col min="1796" max="1796" width="9.1640625" style="233"/>
    <col min="1797" max="1797" width="3.33203125" style="233" customWidth="1"/>
    <col min="1798" max="1798" width="9.1640625" style="233"/>
    <col min="1799" max="1799" width="10.1640625" style="233" customWidth="1"/>
    <col min="1800" max="1800" width="9.5" style="233" customWidth="1"/>
    <col min="1801" max="1803" width="0" style="233" hidden="1" customWidth="1"/>
    <col min="1804" max="1804" width="13.33203125" style="233" customWidth="1"/>
    <col min="1805" max="1805" width="50.5" style="233" bestFit="1" customWidth="1"/>
    <col min="1806" max="1806" width="86" style="233" bestFit="1" customWidth="1"/>
    <col min="1807" max="2048" width="9.1640625" style="233"/>
    <col min="2049" max="2049" width="10.83203125" style="233" customWidth="1"/>
    <col min="2050" max="2050" width="9.1640625" style="233"/>
    <col min="2051" max="2051" width="32.5" style="233" customWidth="1"/>
    <col min="2052" max="2052" width="9.1640625" style="233"/>
    <col min="2053" max="2053" width="3.33203125" style="233" customWidth="1"/>
    <col min="2054" max="2054" width="9.1640625" style="233"/>
    <col min="2055" max="2055" width="10.1640625" style="233" customWidth="1"/>
    <col min="2056" max="2056" width="9.5" style="233" customWidth="1"/>
    <col min="2057" max="2059" width="0" style="233" hidden="1" customWidth="1"/>
    <col min="2060" max="2060" width="13.33203125" style="233" customWidth="1"/>
    <col min="2061" max="2061" width="50.5" style="233" bestFit="1" customWidth="1"/>
    <col min="2062" max="2062" width="86" style="233" bestFit="1" customWidth="1"/>
    <col min="2063" max="2304" width="9.1640625" style="233"/>
    <col min="2305" max="2305" width="10.83203125" style="233" customWidth="1"/>
    <col min="2306" max="2306" width="9.1640625" style="233"/>
    <col min="2307" max="2307" width="32.5" style="233" customWidth="1"/>
    <col min="2308" max="2308" width="9.1640625" style="233"/>
    <col min="2309" max="2309" width="3.33203125" style="233" customWidth="1"/>
    <col min="2310" max="2310" width="9.1640625" style="233"/>
    <col min="2311" max="2311" width="10.1640625" style="233" customWidth="1"/>
    <col min="2312" max="2312" width="9.5" style="233" customWidth="1"/>
    <col min="2313" max="2315" width="0" style="233" hidden="1" customWidth="1"/>
    <col min="2316" max="2316" width="13.33203125" style="233" customWidth="1"/>
    <col min="2317" max="2317" width="50.5" style="233" bestFit="1" customWidth="1"/>
    <col min="2318" max="2318" width="86" style="233" bestFit="1" customWidth="1"/>
    <col min="2319" max="2560" width="9.1640625" style="233"/>
    <col min="2561" max="2561" width="10.83203125" style="233" customWidth="1"/>
    <col min="2562" max="2562" width="9.1640625" style="233"/>
    <col min="2563" max="2563" width="32.5" style="233" customWidth="1"/>
    <col min="2564" max="2564" width="9.1640625" style="233"/>
    <col min="2565" max="2565" width="3.33203125" style="233" customWidth="1"/>
    <col min="2566" max="2566" width="9.1640625" style="233"/>
    <col min="2567" max="2567" width="10.1640625" style="233" customWidth="1"/>
    <col min="2568" max="2568" width="9.5" style="233" customWidth="1"/>
    <col min="2569" max="2571" width="0" style="233" hidden="1" customWidth="1"/>
    <col min="2572" max="2572" width="13.33203125" style="233" customWidth="1"/>
    <col min="2573" max="2573" width="50.5" style="233" bestFit="1" customWidth="1"/>
    <col min="2574" max="2574" width="86" style="233" bestFit="1" customWidth="1"/>
    <col min="2575" max="2816" width="9.1640625" style="233"/>
    <col min="2817" max="2817" width="10.83203125" style="233" customWidth="1"/>
    <col min="2818" max="2818" width="9.1640625" style="233"/>
    <col min="2819" max="2819" width="32.5" style="233" customWidth="1"/>
    <col min="2820" max="2820" width="9.1640625" style="233"/>
    <col min="2821" max="2821" width="3.33203125" style="233" customWidth="1"/>
    <col min="2822" max="2822" width="9.1640625" style="233"/>
    <col min="2823" max="2823" width="10.1640625" style="233" customWidth="1"/>
    <col min="2824" max="2824" width="9.5" style="233" customWidth="1"/>
    <col min="2825" max="2827" width="0" style="233" hidden="1" customWidth="1"/>
    <col min="2828" max="2828" width="13.33203125" style="233" customWidth="1"/>
    <col min="2829" max="2829" width="50.5" style="233" bestFit="1" customWidth="1"/>
    <col min="2830" max="2830" width="86" style="233" bestFit="1" customWidth="1"/>
    <col min="2831" max="3072" width="9.1640625" style="233"/>
    <col min="3073" max="3073" width="10.83203125" style="233" customWidth="1"/>
    <col min="3074" max="3074" width="9.1640625" style="233"/>
    <col min="3075" max="3075" width="32.5" style="233" customWidth="1"/>
    <col min="3076" max="3076" width="9.1640625" style="233"/>
    <col min="3077" max="3077" width="3.33203125" style="233" customWidth="1"/>
    <col min="3078" max="3078" width="9.1640625" style="233"/>
    <col min="3079" max="3079" width="10.1640625" style="233" customWidth="1"/>
    <col min="3080" max="3080" width="9.5" style="233" customWidth="1"/>
    <col min="3081" max="3083" width="0" style="233" hidden="1" customWidth="1"/>
    <col min="3084" max="3084" width="13.33203125" style="233" customWidth="1"/>
    <col min="3085" max="3085" width="50.5" style="233" bestFit="1" customWidth="1"/>
    <col min="3086" max="3086" width="86" style="233" bestFit="1" customWidth="1"/>
    <col min="3087" max="3328" width="9.1640625" style="233"/>
    <col min="3329" max="3329" width="10.83203125" style="233" customWidth="1"/>
    <col min="3330" max="3330" width="9.1640625" style="233"/>
    <col min="3331" max="3331" width="32.5" style="233" customWidth="1"/>
    <col min="3332" max="3332" width="9.1640625" style="233"/>
    <col min="3333" max="3333" width="3.33203125" style="233" customWidth="1"/>
    <col min="3334" max="3334" width="9.1640625" style="233"/>
    <col min="3335" max="3335" width="10.1640625" style="233" customWidth="1"/>
    <col min="3336" max="3336" width="9.5" style="233" customWidth="1"/>
    <col min="3337" max="3339" width="0" style="233" hidden="1" customWidth="1"/>
    <col min="3340" max="3340" width="13.33203125" style="233" customWidth="1"/>
    <col min="3341" max="3341" width="50.5" style="233" bestFit="1" customWidth="1"/>
    <col min="3342" max="3342" width="86" style="233" bestFit="1" customWidth="1"/>
    <col min="3343" max="3584" width="9.1640625" style="233"/>
    <col min="3585" max="3585" width="10.83203125" style="233" customWidth="1"/>
    <col min="3586" max="3586" width="9.1640625" style="233"/>
    <col min="3587" max="3587" width="32.5" style="233" customWidth="1"/>
    <col min="3588" max="3588" width="9.1640625" style="233"/>
    <col min="3589" max="3589" width="3.33203125" style="233" customWidth="1"/>
    <col min="3590" max="3590" width="9.1640625" style="233"/>
    <col min="3591" max="3591" width="10.1640625" style="233" customWidth="1"/>
    <col min="3592" max="3592" width="9.5" style="233" customWidth="1"/>
    <col min="3593" max="3595" width="0" style="233" hidden="1" customWidth="1"/>
    <col min="3596" max="3596" width="13.33203125" style="233" customWidth="1"/>
    <col min="3597" max="3597" width="50.5" style="233" bestFit="1" customWidth="1"/>
    <col min="3598" max="3598" width="86" style="233" bestFit="1" customWidth="1"/>
    <col min="3599" max="3840" width="9.1640625" style="233"/>
    <col min="3841" max="3841" width="10.83203125" style="233" customWidth="1"/>
    <col min="3842" max="3842" width="9.1640625" style="233"/>
    <col min="3843" max="3843" width="32.5" style="233" customWidth="1"/>
    <col min="3844" max="3844" width="9.1640625" style="233"/>
    <col min="3845" max="3845" width="3.33203125" style="233" customWidth="1"/>
    <col min="3846" max="3846" width="9.1640625" style="233"/>
    <col min="3847" max="3847" width="10.1640625" style="233" customWidth="1"/>
    <col min="3848" max="3848" width="9.5" style="233" customWidth="1"/>
    <col min="3849" max="3851" width="0" style="233" hidden="1" customWidth="1"/>
    <col min="3852" max="3852" width="13.33203125" style="233" customWidth="1"/>
    <col min="3853" max="3853" width="50.5" style="233" bestFit="1" customWidth="1"/>
    <col min="3854" max="3854" width="86" style="233" bestFit="1" customWidth="1"/>
    <col min="3855" max="4096" width="9.1640625" style="233"/>
    <col min="4097" max="4097" width="10.83203125" style="233" customWidth="1"/>
    <col min="4098" max="4098" width="9.1640625" style="233"/>
    <col min="4099" max="4099" width="32.5" style="233" customWidth="1"/>
    <col min="4100" max="4100" width="9.1640625" style="233"/>
    <col min="4101" max="4101" width="3.33203125" style="233" customWidth="1"/>
    <col min="4102" max="4102" width="9.1640625" style="233"/>
    <col min="4103" max="4103" width="10.1640625" style="233" customWidth="1"/>
    <col min="4104" max="4104" width="9.5" style="233" customWidth="1"/>
    <col min="4105" max="4107" width="0" style="233" hidden="1" customWidth="1"/>
    <col min="4108" max="4108" width="13.33203125" style="233" customWidth="1"/>
    <col min="4109" max="4109" width="50.5" style="233" bestFit="1" customWidth="1"/>
    <col min="4110" max="4110" width="86" style="233" bestFit="1" customWidth="1"/>
    <col min="4111" max="4352" width="9.1640625" style="233"/>
    <col min="4353" max="4353" width="10.83203125" style="233" customWidth="1"/>
    <col min="4354" max="4354" width="9.1640625" style="233"/>
    <col min="4355" max="4355" width="32.5" style="233" customWidth="1"/>
    <col min="4356" max="4356" width="9.1640625" style="233"/>
    <col min="4357" max="4357" width="3.33203125" style="233" customWidth="1"/>
    <col min="4358" max="4358" width="9.1640625" style="233"/>
    <col min="4359" max="4359" width="10.1640625" style="233" customWidth="1"/>
    <col min="4360" max="4360" width="9.5" style="233" customWidth="1"/>
    <col min="4361" max="4363" width="0" style="233" hidden="1" customWidth="1"/>
    <col min="4364" max="4364" width="13.33203125" style="233" customWidth="1"/>
    <col min="4365" max="4365" width="50.5" style="233" bestFit="1" customWidth="1"/>
    <col min="4366" max="4366" width="86" style="233" bestFit="1" customWidth="1"/>
    <col min="4367" max="4608" width="9.1640625" style="233"/>
    <col min="4609" max="4609" width="10.83203125" style="233" customWidth="1"/>
    <col min="4610" max="4610" width="9.1640625" style="233"/>
    <col min="4611" max="4611" width="32.5" style="233" customWidth="1"/>
    <col min="4612" max="4612" width="9.1640625" style="233"/>
    <col min="4613" max="4613" width="3.33203125" style="233" customWidth="1"/>
    <col min="4614" max="4614" width="9.1640625" style="233"/>
    <col min="4615" max="4615" width="10.1640625" style="233" customWidth="1"/>
    <col min="4616" max="4616" width="9.5" style="233" customWidth="1"/>
    <col min="4617" max="4619" width="0" style="233" hidden="1" customWidth="1"/>
    <col min="4620" max="4620" width="13.33203125" style="233" customWidth="1"/>
    <col min="4621" max="4621" width="50.5" style="233" bestFit="1" customWidth="1"/>
    <col min="4622" max="4622" width="86" style="233" bestFit="1" customWidth="1"/>
    <col min="4623" max="4864" width="9.1640625" style="233"/>
    <col min="4865" max="4865" width="10.83203125" style="233" customWidth="1"/>
    <col min="4866" max="4866" width="9.1640625" style="233"/>
    <col min="4867" max="4867" width="32.5" style="233" customWidth="1"/>
    <col min="4868" max="4868" width="9.1640625" style="233"/>
    <col min="4869" max="4869" width="3.33203125" style="233" customWidth="1"/>
    <col min="4870" max="4870" width="9.1640625" style="233"/>
    <col min="4871" max="4871" width="10.1640625" style="233" customWidth="1"/>
    <col min="4872" max="4872" width="9.5" style="233" customWidth="1"/>
    <col min="4873" max="4875" width="0" style="233" hidden="1" customWidth="1"/>
    <col min="4876" max="4876" width="13.33203125" style="233" customWidth="1"/>
    <col min="4877" max="4877" width="50.5" style="233" bestFit="1" customWidth="1"/>
    <col min="4878" max="4878" width="86" style="233" bestFit="1" customWidth="1"/>
    <col min="4879" max="5120" width="9.1640625" style="233"/>
    <col min="5121" max="5121" width="10.83203125" style="233" customWidth="1"/>
    <col min="5122" max="5122" width="9.1640625" style="233"/>
    <col min="5123" max="5123" width="32.5" style="233" customWidth="1"/>
    <col min="5124" max="5124" width="9.1640625" style="233"/>
    <col min="5125" max="5125" width="3.33203125" style="233" customWidth="1"/>
    <col min="5126" max="5126" width="9.1640625" style="233"/>
    <col min="5127" max="5127" width="10.1640625" style="233" customWidth="1"/>
    <col min="5128" max="5128" width="9.5" style="233" customWidth="1"/>
    <col min="5129" max="5131" width="0" style="233" hidden="1" customWidth="1"/>
    <col min="5132" max="5132" width="13.33203125" style="233" customWidth="1"/>
    <col min="5133" max="5133" width="50.5" style="233" bestFit="1" customWidth="1"/>
    <col min="5134" max="5134" width="86" style="233" bestFit="1" customWidth="1"/>
    <col min="5135" max="5376" width="9.1640625" style="233"/>
    <col min="5377" max="5377" width="10.83203125" style="233" customWidth="1"/>
    <col min="5378" max="5378" width="9.1640625" style="233"/>
    <col min="5379" max="5379" width="32.5" style="233" customWidth="1"/>
    <col min="5380" max="5380" width="9.1640625" style="233"/>
    <col min="5381" max="5381" width="3.33203125" style="233" customWidth="1"/>
    <col min="5382" max="5382" width="9.1640625" style="233"/>
    <col min="5383" max="5383" width="10.1640625" style="233" customWidth="1"/>
    <col min="5384" max="5384" width="9.5" style="233" customWidth="1"/>
    <col min="5385" max="5387" width="0" style="233" hidden="1" customWidth="1"/>
    <col min="5388" max="5388" width="13.33203125" style="233" customWidth="1"/>
    <col min="5389" max="5389" width="50.5" style="233" bestFit="1" customWidth="1"/>
    <col min="5390" max="5390" width="86" style="233" bestFit="1" customWidth="1"/>
    <col min="5391" max="5632" width="9.1640625" style="233"/>
    <col min="5633" max="5633" width="10.83203125" style="233" customWidth="1"/>
    <col min="5634" max="5634" width="9.1640625" style="233"/>
    <col min="5635" max="5635" width="32.5" style="233" customWidth="1"/>
    <col min="5636" max="5636" width="9.1640625" style="233"/>
    <col min="5637" max="5637" width="3.33203125" style="233" customWidth="1"/>
    <col min="5638" max="5638" width="9.1640625" style="233"/>
    <col min="5639" max="5639" width="10.1640625" style="233" customWidth="1"/>
    <col min="5640" max="5640" width="9.5" style="233" customWidth="1"/>
    <col min="5641" max="5643" width="0" style="233" hidden="1" customWidth="1"/>
    <col min="5644" max="5644" width="13.33203125" style="233" customWidth="1"/>
    <col min="5645" max="5645" width="50.5" style="233" bestFit="1" customWidth="1"/>
    <col min="5646" max="5646" width="86" style="233" bestFit="1" customWidth="1"/>
    <col min="5647" max="5888" width="9.1640625" style="233"/>
    <col min="5889" max="5889" width="10.83203125" style="233" customWidth="1"/>
    <col min="5890" max="5890" width="9.1640625" style="233"/>
    <col min="5891" max="5891" width="32.5" style="233" customWidth="1"/>
    <col min="5892" max="5892" width="9.1640625" style="233"/>
    <col min="5893" max="5893" width="3.33203125" style="233" customWidth="1"/>
    <col min="5894" max="5894" width="9.1640625" style="233"/>
    <col min="5895" max="5895" width="10.1640625" style="233" customWidth="1"/>
    <col min="5896" max="5896" width="9.5" style="233" customWidth="1"/>
    <col min="5897" max="5899" width="0" style="233" hidden="1" customWidth="1"/>
    <col min="5900" max="5900" width="13.33203125" style="233" customWidth="1"/>
    <col min="5901" max="5901" width="50.5" style="233" bestFit="1" customWidth="1"/>
    <col min="5902" max="5902" width="86" style="233" bestFit="1" customWidth="1"/>
    <col min="5903" max="6144" width="9.1640625" style="233"/>
    <col min="6145" max="6145" width="10.83203125" style="233" customWidth="1"/>
    <col min="6146" max="6146" width="9.1640625" style="233"/>
    <col min="6147" max="6147" width="32.5" style="233" customWidth="1"/>
    <col min="6148" max="6148" width="9.1640625" style="233"/>
    <col min="6149" max="6149" width="3.33203125" style="233" customWidth="1"/>
    <col min="6150" max="6150" width="9.1640625" style="233"/>
    <col min="6151" max="6151" width="10.1640625" style="233" customWidth="1"/>
    <col min="6152" max="6152" width="9.5" style="233" customWidth="1"/>
    <col min="6153" max="6155" width="0" style="233" hidden="1" customWidth="1"/>
    <col min="6156" max="6156" width="13.33203125" style="233" customWidth="1"/>
    <col min="6157" max="6157" width="50.5" style="233" bestFit="1" customWidth="1"/>
    <col min="6158" max="6158" width="86" style="233" bestFit="1" customWidth="1"/>
    <col min="6159" max="6400" width="9.1640625" style="233"/>
    <col min="6401" max="6401" width="10.83203125" style="233" customWidth="1"/>
    <col min="6402" max="6402" width="9.1640625" style="233"/>
    <col min="6403" max="6403" width="32.5" style="233" customWidth="1"/>
    <col min="6404" max="6404" width="9.1640625" style="233"/>
    <col min="6405" max="6405" width="3.33203125" style="233" customWidth="1"/>
    <col min="6406" max="6406" width="9.1640625" style="233"/>
    <col min="6407" max="6407" width="10.1640625" style="233" customWidth="1"/>
    <col min="6408" max="6408" width="9.5" style="233" customWidth="1"/>
    <col min="6409" max="6411" width="0" style="233" hidden="1" customWidth="1"/>
    <col min="6412" max="6412" width="13.33203125" style="233" customWidth="1"/>
    <col min="6413" max="6413" width="50.5" style="233" bestFit="1" customWidth="1"/>
    <col min="6414" max="6414" width="86" style="233" bestFit="1" customWidth="1"/>
    <col min="6415" max="6656" width="9.1640625" style="233"/>
    <col min="6657" max="6657" width="10.83203125" style="233" customWidth="1"/>
    <col min="6658" max="6658" width="9.1640625" style="233"/>
    <col min="6659" max="6659" width="32.5" style="233" customWidth="1"/>
    <col min="6660" max="6660" width="9.1640625" style="233"/>
    <col min="6661" max="6661" width="3.33203125" style="233" customWidth="1"/>
    <col min="6662" max="6662" width="9.1640625" style="233"/>
    <col min="6663" max="6663" width="10.1640625" style="233" customWidth="1"/>
    <col min="6664" max="6664" width="9.5" style="233" customWidth="1"/>
    <col min="6665" max="6667" width="0" style="233" hidden="1" customWidth="1"/>
    <col min="6668" max="6668" width="13.33203125" style="233" customWidth="1"/>
    <col min="6669" max="6669" width="50.5" style="233" bestFit="1" customWidth="1"/>
    <col min="6670" max="6670" width="86" style="233" bestFit="1" customWidth="1"/>
    <col min="6671" max="6912" width="9.1640625" style="233"/>
    <col min="6913" max="6913" width="10.83203125" style="233" customWidth="1"/>
    <col min="6914" max="6914" width="9.1640625" style="233"/>
    <col min="6915" max="6915" width="32.5" style="233" customWidth="1"/>
    <col min="6916" max="6916" width="9.1640625" style="233"/>
    <col min="6917" max="6917" width="3.33203125" style="233" customWidth="1"/>
    <col min="6918" max="6918" width="9.1640625" style="233"/>
    <col min="6919" max="6919" width="10.1640625" style="233" customWidth="1"/>
    <col min="6920" max="6920" width="9.5" style="233" customWidth="1"/>
    <col min="6921" max="6923" width="0" style="233" hidden="1" customWidth="1"/>
    <col min="6924" max="6924" width="13.33203125" style="233" customWidth="1"/>
    <col min="6925" max="6925" width="50.5" style="233" bestFit="1" customWidth="1"/>
    <col min="6926" max="6926" width="86" style="233" bestFit="1" customWidth="1"/>
    <col min="6927" max="7168" width="9.1640625" style="233"/>
    <col min="7169" max="7169" width="10.83203125" style="233" customWidth="1"/>
    <col min="7170" max="7170" width="9.1640625" style="233"/>
    <col min="7171" max="7171" width="32.5" style="233" customWidth="1"/>
    <col min="7172" max="7172" width="9.1640625" style="233"/>
    <col min="7173" max="7173" width="3.33203125" style="233" customWidth="1"/>
    <col min="7174" max="7174" width="9.1640625" style="233"/>
    <col min="7175" max="7175" width="10.1640625" style="233" customWidth="1"/>
    <col min="7176" max="7176" width="9.5" style="233" customWidth="1"/>
    <col min="7177" max="7179" width="0" style="233" hidden="1" customWidth="1"/>
    <col min="7180" max="7180" width="13.33203125" style="233" customWidth="1"/>
    <col min="7181" max="7181" width="50.5" style="233" bestFit="1" customWidth="1"/>
    <col min="7182" max="7182" width="86" style="233" bestFit="1" customWidth="1"/>
    <col min="7183" max="7424" width="9.1640625" style="233"/>
    <col min="7425" max="7425" width="10.83203125" style="233" customWidth="1"/>
    <col min="7426" max="7426" width="9.1640625" style="233"/>
    <col min="7427" max="7427" width="32.5" style="233" customWidth="1"/>
    <col min="7428" max="7428" width="9.1640625" style="233"/>
    <col min="7429" max="7429" width="3.33203125" style="233" customWidth="1"/>
    <col min="7430" max="7430" width="9.1640625" style="233"/>
    <col min="7431" max="7431" width="10.1640625" style="233" customWidth="1"/>
    <col min="7432" max="7432" width="9.5" style="233" customWidth="1"/>
    <col min="7433" max="7435" width="0" style="233" hidden="1" customWidth="1"/>
    <col min="7436" max="7436" width="13.33203125" style="233" customWidth="1"/>
    <col min="7437" max="7437" width="50.5" style="233" bestFit="1" customWidth="1"/>
    <col min="7438" max="7438" width="86" style="233" bestFit="1" customWidth="1"/>
    <col min="7439" max="7680" width="9.1640625" style="233"/>
    <col min="7681" max="7681" width="10.83203125" style="233" customWidth="1"/>
    <col min="7682" max="7682" width="9.1640625" style="233"/>
    <col min="7683" max="7683" width="32.5" style="233" customWidth="1"/>
    <col min="7684" max="7684" width="9.1640625" style="233"/>
    <col min="7685" max="7685" width="3.33203125" style="233" customWidth="1"/>
    <col min="7686" max="7686" width="9.1640625" style="233"/>
    <col min="7687" max="7687" width="10.1640625" style="233" customWidth="1"/>
    <col min="7688" max="7688" width="9.5" style="233" customWidth="1"/>
    <col min="7689" max="7691" width="0" style="233" hidden="1" customWidth="1"/>
    <col min="7692" max="7692" width="13.33203125" style="233" customWidth="1"/>
    <col min="7693" max="7693" width="50.5" style="233" bestFit="1" customWidth="1"/>
    <col min="7694" max="7694" width="86" style="233" bestFit="1" customWidth="1"/>
    <col min="7695" max="7936" width="9.1640625" style="233"/>
    <col min="7937" max="7937" width="10.83203125" style="233" customWidth="1"/>
    <col min="7938" max="7938" width="9.1640625" style="233"/>
    <col min="7939" max="7939" width="32.5" style="233" customWidth="1"/>
    <col min="7940" max="7940" width="9.1640625" style="233"/>
    <col min="7941" max="7941" width="3.33203125" style="233" customWidth="1"/>
    <col min="7942" max="7942" width="9.1640625" style="233"/>
    <col min="7943" max="7943" width="10.1640625" style="233" customWidth="1"/>
    <col min="7944" max="7944" width="9.5" style="233" customWidth="1"/>
    <col min="7945" max="7947" width="0" style="233" hidden="1" customWidth="1"/>
    <col min="7948" max="7948" width="13.33203125" style="233" customWidth="1"/>
    <col min="7949" max="7949" width="50.5" style="233" bestFit="1" customWidth="1"/>
    <col min="7950" max="7950" width="86" style="233" bestFit="1" customWidth="1"/>
    <col min="7951" max="8192" width="9.1640625" style="233"/>
    <col min="8193" max="8193" width="10.83203125" style="233" customWidth="1"/>
    <col min="8194" max="8194" width="9.1640625" style="233"/>
    <col min="8195" max="8195" width="32.5" style="233" customWidth="1"/>
    <col min="8196" max="8196" width="9.1640625" style="233"/>
    <col min="8197" max="8197" width="3.33203125" style="233" customWidth="1"/>
    <col min="8198" max="8198" width="9.1640625" style="233"/>
    <col min="8199" max="8199" width="10.1640625" style="233" customWidth="1"/>
    <col min="8200" max="8200" width="9.5" style="233" customWidth="1"/>
    <col min="8201" max="8203" width="0" style="233" hidden="1" customWidth="1"/>
    <col min="8204" max="8204" width="13.33203125" style="233" customWidth="1"/>
    <col min="8205" max="8205" width="50.5" style="233" bestFit="1" customWidth="1"/>
    <col min="8206" max="8206" width="86" style="233" bestFit="1" customWidth="1"/>
    <col min="8207" max="8448" width="9.1640625" style="233"/>
    <col min="8449" max="8449" width="10.83203125" style="233" customWidth="1"/>
    <col min="8450" max="8450" width="9.1640625" style="233"/>
    <col min="8451" max="8451" width="32.5" style="233" customWidth="1"/>
    <col min="8452" max="8452" width="9.1640625" style="233"/>
    <col min="8453" max="8453" width="3.33203125" style="233" customWidth="1"/>
    <col min="8454" max="8454" width="9.1640625" style="233"/>
    <col min="8455" max="8455" width="10.1640625" style="233" customWidth="1"/>
    <col min="8456" max="8456" width="9.5" style="233" customWidth="1"/>
    <col min="8457" max="8459" width="0" style="233" hidden="1" customWidth="1"/>
    <col min="8460" max="8460" width="13.33203125" style="233" customWidth="1"/>
    <col min="8461" max="8461" width="50.5" style="233" bestFit="1" customWidth="1"/>
    <col min="8462" max="8462" width="86" style="233" bestFit="1" customWidth="1"/>
    <col min="8463" max="8704" width="9.1640625" style="233"/>
    <col min="8705" max="8705" width="10.83203125" style="233" customWidth="1"/>
    <col min="8706" max="8706" width="9.1640625" style="233"/>
    <col min="8707" max="8707" width="32.5" style="233" customWidth="1"/>
    <col min="8708" max="8708" width="9.1640625" style="233"/>
    <col min="8709" max="8709" width="3.33203125" style="233" customWidth="1"/>
    <col min="8710" max="8710" width="9.1640625" style="233"/>
    <col min="8711" max="8711" width="10.1640625" style="233" customWidth="1"/>
    <col min="8712" max="8712" width="9.5" style="233" customWidth="1"/>
    <col min="8713" max="8715" width="0" style="233" hidden="1" customWidth="1"/>
    <col min="8716" max="8716" width="13.33203125" style="233" customWidth="1"/>
    <col min="8717" max="8717" width="50.5" style="233" bestFit="1" customWidth="1"/>
    <col min="8718" max="8718" width="86" style="233" bestFit="1" customWidth="1"/>
    <col min="8719" max="8960" width="9.1640625" style="233"/>
    <col min="8961" max="8961" width="10.83203125" style="233" customWidth="1"/>
    <col min="8962" max="8962" width="9.1640625" style="233"/>
    <col min="8963" max="8963" width="32.5" style="233" customWidth="1"/>
    <col min="8964" max="8964" width="9.1640625" style="233"/>
    <col min="8965" max="8965" width="3.33203125" style="233" customWidth="1"/>
    <col min="8966" max="8966" width="9.1640625" style="233"/>
    <col min="8967" max="8967" width="10.1640625" style="233" customWidth="1"/>
    <col min="8968" max="8968" width="9.5" style="233" customWidth="1"/>
    <col min="8969" max="8971" width="0" style="233" hidden="1" customWidth="1"/>
    <col min="8972" max="8972" width="13.33203125" style="233" customWidth="1"/>
    <col min="8973" max="8973" width="50.5" style="233" bestFit="1" customWidth="1"/>
    <col min="8974" max="8974" width="86" style="233" bestFit="1" customWidth="1"/>
    <col min="8975" max="9216" width="9.1640625" style="233"/>
    <col min="9217" max="9217" width="10.83203125" style="233" customWidth="1"/>
    <col min="9218" max="9218" width="9.1640625" style="233"/>
    <col min="9219" max="9219" width="32.5" style="233" customWidth="1"/>
    <col min="9220" max="9220" width="9.1640625" style="233"/>
    <col min="9221" max="9221" width="3.33203125" style="233" customWidth="1"/>
    <col min="9222" max="9222" width="9.1640625" style="233"/>
    <col min="9223" max="9223" width="10.1640625" style="233" customWidth="1"/>
    <col min="9224" max="9224" width="9.5" style="233" customWidth="1"/>
    <col min="9225" max="9227" width="0" style="233" hidden="1" customWidth="1"/>
    <col min="9228" max="9228" width="13.33203125" style="233" customWidth="1"/>
    <col min="9229" max="9229" width="50.5" style="233" bestFit="1" customWidth="1"/>
    <col min="9230" max="9230" width="86" style="233" bestFit="1" customWidth="1"/>
    <col min="9231" max="9472" width="9.1640625" style="233"/>
    <col min="9473" max="9473" width="10.83203125" style="233" customWidth="1"/>
    <col min="9474" max="9474" width="9.1640625" style="233"/>
    <col min="9475" max="9475" width="32.5" style="233" customWidth="1"/>
    <col min="9476" max="9476" width="9.1640625" style="233"/>
    <col min="9477" max="9477" width="3.33203125" style="233" customWidth="1"/>
    <col min="9478" max="9478" width="9.1640625" style="233"/>
    <col min="9479" max="9479" width="10.1640625" style="233" customWidth="1"/>
    <col min="9480" max="9480" width="9.5" style="233" customWidth="1"/>
    <col min="9481" max="9483" width="0" style="233" hidden="1" customWidth="1"/>
    <col min="9484" max="9484" width="13.33203125" style="233" customWidth="1"/>
    <col min="9485" max="9485" width="50.5" style="233" bestFit="1" customWidth="1"/>
    <col min="9486" max="9486" width="86" style="233" bestFit="1" customWidth="1"/>
    <col min="9487" max="9728" width="9.1640625" style="233"/>
    <col min="9729" max="9729" width="10.83203125" style="233" customWidth="1"/>
    <col min="9730" max="9730" width="9.1640625" style="233"/>
    <col min="9731" max="9731" width="32.5" style="233" customWidth="1"/>
    <col min="9732" max="9732" width="9.1640625" style="233"/>
    <col min="9733" max="9733" width="3.33203125" style="233" customWidth="1"/>
    <col min="9734" max="9734" width="9.1640625" style="233"/>
    <col min="9735" max="9735" width="10.1640625" style="233" customWidth="1"/>
    <col min="9736" max="9736" width="9.5" style="233" customWidth="1"/>
    <col min="9737" max="9739" width="0" style="233" hidden="1" customWidth="1"/>
    <col min="9740" max="9740" width="13.33203125" style="233" customWidth="1"/>
    <col min="9741" max="9741" width="50.5" style="233" bestFit="1" customWidth="1"/>
    <col min="9742" max="9742" width="86" style="233" bestFit="1" customWidth="1"/>
    <col min="9743" max="9984" width="9.1640625" style="233"/>
    <col min="9985" max="9985" width="10.83203125" style="233" customWidth="1"/>
    <col min="9986" max="9986" width="9.1640625" style="233"/>
    <col min="9987" max="9987" width="32.5" style="233" customWidth="1"/>
    <col min="9988" max="9988" width="9.1640625" style="233"/>
    <col min="9989" max="9989" width="3.33203125" style="233" customWidth="1"/>
    <col min="9990" max="9990" width="9.1640625" style="233"/>
    <col min="9991" max="9991" width="10.1640625" style="233" customWidth="1"/>
    <col min="9992" max="9992" width="9.5" style="233" customWidth="1"/>
    <col min="9993" max="9995" width="0" style="233" hidden="1" customWidth="1"/>
    <col min="9996" max="9996" width="13.33203125" style="233" customWidth="1"/>
    <col min="9997" max="9997" width="50.5" style="233" bestFit="1" customWidth="1"/>
    <col min="9998" max="9998" width="86" style="233" bestFit="1" customWidth="1"/>
    <col min="9999" max="10240" width="9.1640625" style="233"/>
    <col min="10241" max="10241" width="10.83203125" style="233" customWidth="1"/>
    <col min="10242" max="10242" width="9.1640625" style="233"/>
    <col min="10243" max="10243" width="32.5" style="233" customWidth="1"/>
    <col min="10244" max="10244" width="9.1640625" style="233"/>
    <col min="10245" max="10245" width="3.33203125" style="233" customWidth="1"/>
    <col min="10246" max="10246" width="9.1640625" style="233"/>
    <col min="10247" max="10247" width="10.1640625" style="233" customWidth="1"/>
    <col min="10248" max="10248" width="9.5" style="233" customWidth="1"/>
    <col min="10249" max="10251" width="0" style="233" hidden="1" customWidth="1"/>
    <col min="10252" max="10252" width="13.33203125" style="233" customWidth="1"/>
    <col min="10253" max="10253" width="50.5" style="233" bestFit="1" customWidth="1"/>
    <col min="10254" max="10254" width="86" style="233" bestFit="1" customWidth="1"/>
    <col min="10255" max="10496" width="9.1640625" style="233"/>
    <col min="10497" max="10497" width="10.83203125" style="233" customWidth="1"/>
    <col min="10498" max="10498" width="9.1640625" style="233"/>
    <col min="10499" max="10499" width="32.5" style="233" customWidth="1"/>
    <col min="10500" max="10500" width="9.1640625" style="233"/>
    <col min="10501" max="10501" width="3.33203125" style="233" customWidth="1"/>
    <col min="10502" max="10502" width="9.1640625" style="233"/>
    <col min="10503" max="10503" width="10.1640625" style="233" customWidth="1"/>
    <col min="10504" max="10504" width="9.5" style="233" customWidth="1"/>
    <col min="10505" max="10507" width="0" style="233" hidden="1" customWidth="1"/>
    <col min="10508" max="10508" width="13.33203125" style="233" customWidth="1"/>
    <col min="10509" max="10509" width="50.5" style="233" bestFit="1" customWidth="1"/>
    <col min="10510" max="10510" width="86" style="233" bestFit="1" customWidth="1"/>
    <col min="10511" max="10752" width="9.1640625" style="233"/>
    <col min="10753" max="10753" width="10.83203125" style="233" customWidth="1"/>
    <col min="10754" max="10754" width="9.1640625" style="233"/>
    <col min="10755" max="10755" width="32.5" style="233" customWidth="1"/>
    <col min="10756" max="10756" width="9.1640625" style="233"/>
    <col min="10757" max="10757" width="3.33203125" style="233" customWidth="1"/>
    <col min="10758" max="10758" width="9.1640625" style="233"/>
    <col min="10759" max="10759" width="10.1640625" style="233" customWidth="1"/>
    <col min="10760" max="10760" width="9.5" style="233" customWidth="1"/>
    <col min="10761" max="10763" width="0" style="233" hidden="1" customWidth="1"/>
    <col min="10764" max="10764" width="13.33203125" style="233" customWidth="1"/>
    <col min="10765" max="10765" width="50.5" style="233" bestFit="1" customWidth="1"/>
    <col min="10766" max="10766" width="86" style="233" bestFit="1" customWidth="1"/>
    <col min="10767" max="11008" width="9.1640625" style="233"/>
    <col min="11009" max="11009" width="10.83203125" style="233" customWidth="1"/>
    <col min="11010" max="11010" width="9.1640625" style="233"/>
    <col min="11011" max="11011" width="32.5" style="233" customWidth="1"/>
    <col min="11012" max="11012" width="9.1640625" style="233"/>
    <col min="11013" max="11013" width="3.33203125" style="233" customWidth="1"/>
    <col min="11014" max="11014" width="9.1640625" style="233"/>
    <col min="11015" max="11015" width="10.1640625" style="233" customWidth="1"/>
    <col min="11016" max="11016" width="9.5" style="233" customWidth="1"/>
    <col min="11017" max="11019" width="0" style="233" hidden="1" customWidth="1"/>
    <col min="11020" max="11020" width="13.33203125" style="233" customWidth="1"/>
    <col min="11021" max="11021" width="50.5" style="233" bestFit="1" customWidth="1"/>
    <col min="11022" max="11022" width="86" style="233" bestFit="1" customWidth="1"/>
    <col min="11023" max="11264" width="9.1640625" style="233"/>
    <col min="11265" max="11265" width="10.83203125" style="233" customWidth="1"/>
    <col min="11266" max="11266" width="9.1640625" style="233"/>
    <col min="11267" max="11267" width="32.5" style="233" customWidth="1"/>
    <col min="11268" max="11268" width="9.1640625" style="233"/>
    <col min="11269" max="11269" width="3.33203125" style="233" customWidth="1"/>
    <col min="11270" max="11270" width="9.1640625" style="233"/>
    <col min="11271" max="11271" width="10.1640625" style="233" customWidth="1"/>
    <col min="11272" max="11272" width="9.5" style="233" customWidth="1"/>
    <col min="11273" max="11275" width="0" style="233" hidden="1" customWidth="1"/>
    <col min="11276" max="11276" width="13.33203125" style="233" customWidth="1"/>
    <col min="11277" max="11277" width="50.5" style="233" bestFit="1" customWidth="1"/>
    <col min="11278" max="11278" width="86" style="233" bestFit="1" customWidth="1"/>
    <col min="11279" max="11520" width="9.1640625" style="233"/>
    <col min="11521" max="11521" width="10.83203125" style="233" customWidth="1"/>
    <col min="11522" max="11522" width="9.1640625" style="233"/>
    <col min="11523" max="11523" width="32.5" style="233" customWidth="1"/>
    <col min="11524" max="11524" width="9.1640625" style="233"/>
    <col min="11525" max="11525" width="3.33203125" style="233" customWidth="1"/>
    <col min="11526" max="11526" width="9.1640625" style="233"/>
    <col min="11527" max="11527" width="10.1640625" style="233" customWidth="1"/>
    <col min="11528" max="11528" width="9.5" style="233" customWidth="1"/>
    <col min="11529" max="11531" width="0" style="233" hidden="1" customWidth="1"/>
    <col min="11532" max="11532" width="13.33203125" style="233" customWidth="1"/>
    <col min="11533" max="11533" width="50.5" style="233" bestFit="1" customWidth="1"/>
    <col min="11534" max="11534" width="86" style="233" bestFit="1" customWidth="1"/>
    <col min="11535" max="11776" width="9.1640625" style="233"/>
    <col min="11777" max="11777" width="10.83203125" style="233" customWidth="1"/>
    <col min="11778" max="11778" width="9.1640625" style="233"/>
    <col min="11779" max="11779" width="32.5" style="233" customWidth="1"/>
    <col min="11780" max="11780" width="9.1640625" style="233"/>
    <col min="11781" max="11781" width="3.33203125" style="233" customWidth="1"/>
    <col min="11782" max="11782" width="9.1640625" style="233"/>
    <col min="11783" max="11783" width="10.1640625" style="233" customWidth="1"/>
    <col min="11784" max="11784" width="9.5" style="233" customWidth="1"/>
    <col min="11785" max="11787" width="0" style="233" hidden="1" customWidth="1"/>
    <col min="11788" max="11788" width="13.33203125" style="233" customWidth="1"/>
    <col min="11789" max="11789" width="50.5" style="233" bestFit="1" customWidth="1"/>
    <col min="11790" max="11790" width="86" style="233" bestFit="1" customWidth="1"/>
    <col min="11791" max="12032" width="9.1640625" style="233"/>
    <col min="12033" max="12033" width="10.83203125" style="233" customWidth="1"/>
    <col min="12034" max="12034" width="9.1640625" style="233"/>
    <col min="12035" max="12035" width="32.5" style="233" customWidth="1"/>
    <col min="12036" max="12036" width="9.1640625" style="233"/>
    <col min="12037" max="12037" width="3.33203125" style="233" customWidth="1"/>
    <col min="12038" max="12038" width="9.1640625" style="233"/>
    <col min="12039" max="12039" width="10.1640625" style="233" customWidth="1"/>
    <col min="12040" max="12040" width="9.5" style="233" customWidth="1"/>
    <col min="12041" max="12043" width="0" style="233" hidden="1" customWidth="1"/>
    <col min="12044" max="12044" width="13.33203125" style="233" customWidth="1"/>
    <col min="12045" max="12045" width="50.5" style="233" bestFit="1" customWidth="1"/>
    <col min="12046" max="12046" width="86" style="233" bestFit="1" customWidth="1"/>
    <col min="12047" max="12288" width="9.1640625" style="233"/>
    <col min="12289" max="12289" width="10.83203125" style="233" customWidth="1"/>
    <col min="12290" max="12290" width="9.1640625" style="233"/>
    <col min="12291" max="12291" width="32.5" style="233" customWidth="1"/>
    <col min="12292" max="12292" width="9.1640625" style="233"/>
    <col min="12293" max="12293" width="3.33203125" style="233" customWidth="1"/>
    <col min="12294" max="12294" width="9.1640625" style="233"/>
    <col min="12295" max="12295" width="10.1640625" style="233" customWidth="1"/>
    <col min="12296" max="12296" width="9.5" style="233" customWidth="1"/>
    <col min="12297" max="12299" width="0" style="233" hidden="1" customWidth="1"/>
    <col min="12300" max="12300" width="13.33203125" style="233" customWidth="1"/>
    <col min="12301" max="12301" width="50.5" style="233" bestFit="1" customWidth="1"/>
    <col min="12302" max="12302" width="86" style="233" bestFit="1" customWidth="1"/>
    <col min="12303" max="12544" width="9.1640625" style="233"/>
    <col min="12545" max="12545" width="10.83203125" style="233" customWidth="1"/>
    <col min="12546" max="12546" width="9.1640625" style="233"/>
    <col min="12547" max="12547" width="32.5" style="233" customWidth="1"/>
    <col min="12548" max="12548" width="9.1640625" style="233"/>
    <col min="12549" max="12549" width="3.33203125" style="233" customWidth="1"/>
    <col min="12550" max="12550" width="9.1640625" style="233"/>
    <col min="12551" max="12551" width="10.1640625" style="233" customWidth="1"/>
    <col min="12552" max="12552" width="9.5" style="233" customWidth="1"/>
    <col min="12553" max="12555" width="0" style="233" hidden="1" customWidth="1"/>
    <col min="12556" max="12556" width="13.33203125" style="233" customWidth="1"/>
    <col min="12557" max="12557" width="50.5" style="233" bestFit="1" customWidth="1"/>
    <col min="12558" max="12558" width="86" style="233" bestFit="1" customWidth="1"/>
    <col min="12559" max="12800" width="9.1640625" style="233"/>
    <col min="12801" max="12801" width="10.83203125" style="233" customWidth="1"/>
    <col min="12802" max="12802" width="9.1640625" style="233"/>
    <col min="12803" max="12803" width="32.5" style="233" customWidth="1"/>
    <col min="12804" max="12804" width="9.1640625" style="233"/>
    <col min="12805" max="12805" width="3.33203125" style="233" customWidth="1"/>
    <col min="12806" max="12806" width="9.1640625" style="233"/>
    <col min="12807" max="12807" width="10.1640625" style="233" customWidth="1"/>
    <col min="12808" max="12808" width="9.5" style="233" customWidth="1"/>
    <col min="12809" max="12811" width="0" style="233" hidden="1" customWidth="1"/>
    <col min="12812" max="12812" width="13.33203125" style="233" customWidth="1"/>
    <col min="12813" max="12813" width="50.5" style="233" bestFit="1" customWidth="1"/>
    <col min="12814" max="12814" width="86" style="233" bestFit="1" customWidth="1"/>
    <col min="12815" max="13056" width="9.1640625" style="233"/>
    <col min="13057" max="13057" width="10.83203125" style="233" customWidth="1"/>
    <col min="13058" max="13058" width="9.1640625" style="233"/>
    <col min="13059" max="13059" width="32.5" style="233" customWidth="1"/>
    <col min="13060" max="13060" width="9.1640625" style="233"/>
    <col min="13061" max="13061" width="3.33203125" style="233" customWidth="1"/>
    <col min="13062" max="13062" width="9.1640625" style="233"/>
    <col min="13063" max="13063" width="10.1640625" style="233" customWidth="1"/>
    <col min="13064" max="13064" width="9.5" style="233" customWidth="1"/>
    <col min="13065" max="13067" width="0" style="233" hidden="1" customWidth="1"/>
    <col min="13068" max="13068" width="13.33203125" style="233" customWidth="1"/>
    <col min="13069" max="13069" width="50.5" style="233" bestFit="1" customWidth="1"/>
    <col min="13070" max="13070" width="86" style="233" bestFit="1" customWidth="1"/>
    <col min="13071" max="13312" width="9.1640625" style="233"/>
    <col min="13313" max="13313" width="10.83203125" style="233" customWidth="1"/>
    <col min="13314" max="13314" width="9.1640625" style="233"/>
    <col min="13315" max="13315" width="32.5" style="233" customWidth="1"/>
    <col min="13316" max="13316" width="9.1640625" style="233"/>
    <col min="13317" max="13317" width="3.33203125" style="233" customWidth="1"/>
    <col min="13318" max="13318" width="9.1640625" style="233"/>
    <col min="13319" max="13319" width="10.1640625" style="233" customWidth="1"/>
    <col min="13320" max="13320" width="9.5" style="233" customWidth="1"/>
    <col min="13321" max="13323" width="0" style="233" hidden="1" customWidth="1"/>
    <col min="13324" max="13324" width="13.33203125" style="233" customWidth="1"/>
    <col min="13325" max="13325" width="50.5" style="233" bestFit="1" customWidth="1"/>
    <col min="13326" max="13326" width="86" style="233" bestFit="1" customWidth="1"/>
    <col min="13327" max="13568" width="9.1640625" style="233"/>
    <col min="13569" max="13569" width="10.83203125" style="233" customWidth="1"/>
    <col min="13570" max="13570" width="9.1640625" style="233"/>
    <col min="13571" max="13571" width="32.5" style="233" customWidth="1"/>
    <col min="13572" max="13572" width="9.1640625" style="233"/>
    <col min="13573" max="13573" width="3.33203125" style="233" customWidth="1"/>
    <col min="13574" max="13574" width="9.1640625" style="233"/>
    <col min="13575" max="13575" width="10.1640625" style="233" customWidth="1"/>
    <col min="13576" max="13576" width="9.5" style="233" customWidth="1"/>
    <col min="13577" max="13579" width="0" style="233" hidden="1" customWidth="1"/>
    <col min="13580" max="13580" width="13.33203125" style="233" customWidth="1"/>
    <col min="13581" max="13581" width="50.5" style="233" bestFit="1" customWidth="1"/>
    <col min="13582" max="13582" width="86" style="233" bestFit="1" customWidth="1"/>
    <col min="13583" max="13824" width="9.1640625" style="233"/>
    <col min="13825" max="13825" width="10.83203125" style="233" customWidth="1"/>
    <col min="13826" max="13826" width="9.1640625" style="233"/>
    <col min="13827" max="13827" width="32.5" style="233" customWidth="1"/>
    <col min="13828" max="13828" width="9.1640625" style="233"/>
    <col min="13829" max="13829" width="3.33203125" style="233" customWidth="1"/>
    <col min="13830" max="13830" width="9.1640625" style="233"/>
    <col min="13831" max="13831" width="10.1640625" style="233" customWidth="1"/>
    <col min="13832" max="13832" width="9.5" style="233" customWidth="1"/>
    <col min="13833" max="13835" width="0" style="233" hidden="1" customWidth="1"/>
    <col min="13836" max="13836" width="13.33203125" style="233" customWidth="1"/>
    <col min="13837" max="13837" width="50.5" style="233" bestFit="1" customWidth="1"/>
    <col min="13838" max="13838" width="86" style="233" bestFit="1" customWidth="1"/>
    <col min="13839" max="14080" width="9.1640625" style="233"/>
    <col min="14081" max="14081" width="10.83203125" style="233" customWidth="1"/>
    <col min="14082" max="14082" width="9.1640625" style="233"/>
    <col min="14083" max="14083" width="32.5" style="233" customWidth="1"/>
    <col min="14084" max="14084" width="9.1640625" style="233"/>
    <col min="14085" max="14085" width="3.33203125" style="233" customWidth="1"/>
    <col min="14086" max="14086" width="9.1640625" style="233"/>
    <col min="14087" max="14087" width="10.1640625" style="233" customWidth="1"/>
    <col min="14088" max="14088" width="9.5" style="233" customWidth="1"/>
    <col min="14089" max="14091" width="0" style="233" hidden="1" customWidth="1"/>
    <col min="14092" max="14092" width="13.33203125" style="233" customWidth="1"/>
    <col min="14093" max="14093" width="50.5" style="233" bestFit="1" customWidth="1"/>
    <col min="14094" max="14094" width="86" style="233" bestFit="1" customWidth="1"/>
    <col min="14095" max="14336" width="9.1640625" style="233"/>
    <col min="14337" max="14337" width="10.83203125" style="233" customWidth="1"/>
    <col min="14338" max="14338" width="9.1640625" style="233"/>
    <col min="14339" max="14339" width="32.5" style="233" customWidth="1"/>
    <col min="14340" max="14340" width="9.1640625" style="233"/>
    <col min="14341" max="14341" width="3.33203125" style="233" customWidth="1"/>
    <col min="14342" max="14342" width="9.1640625" style="233"/>
    <col min="14343" max="14343" width="10.1640625" style="233" customWidth="1"/>
    <col min="14344" max="14344" width="9.5" style="233" customWidth="1"/>
    <col min="14345" max="14347" width="0" style="233" hidden="1" customWidth="1"/>
    <col min="14348" max="14348" width="13.33203125" style="233" customWidth="1"/>
    <col min="14349" max="14349" width="50.5" style="233" bestFit="1" customWidth="1"/>
    <col min="14350" max="14350" width="86" style="233" bestFit="1" customWidth="1"/>
    <col min="14351" max="14592" width="9.1640625" style="233"/>
    <col min="14593" max="14593" width="10.83203125" style="233" customWidth="1"/>
    <col min="14594" max="14594" width="9.1640625" style="233"/>
    <col min="14595" max="14595" width="32.5" style="233" customWidth="1"/>
    <col min="14596" max="14596" width="9.1640625" style="233"/>
    <col min="14597" max="14597" width="3.33203125" style="233" customWidth="1"/>
    <col min="14598" max="14598" width="9.1640625" style="233"/>
    <col min="14599" max="14599" width="10.1640625" style="233" customWidth="1"/>
    <col min="14600" max="14600" width="9.5" style="233" customWidth="1"/>
    <col min="14601" max="14603" width="0" style="233" hidden="1" customWidth="1"/>
    <col min="14604" max="14604" width="13.33203125" style="233" customWidth="1"/>
    <col min="14605" max="14605" width="50.5" style="233" bestFit="1" customWidth="1"/>
    <col min="14606" max="14606" width="86" style="233" bestFit="1" customWidth="1"/>
    <col min="14607" max="14848" width="9.1640625" style="233"/>
    <col min="14849" max="14849" width="10.83203125" style="233" customWidth="1"/>
    <col min="14850" max="14850" width="9.1640625" style="233"/>
    <col min="14851" max="14851" width="32.5" style="233" customWidth="1"/>
    <col min="14852" max="14852" width="9.1640625" style="233"/>
    <col min="14853" max="14853" width="3.33203125" style="233" customWidth="1"/>
    <col min="14854" max="14854" width="9.1640625" style="233"/>
    <col min="14855" max="14855" width="10.1640625" style="233" customWidth="1"/>
    <col min="14856" max="14856" width="9.5" style="233" customWidth="1"/>
    <col min="14857" max="14859" width="0" style="233" hidden="1" customWidth="1"/>
    <col min="14860" max="14860" width="13.33203125" style="233" customWidth="1"/>
    <col min="14861" max="14861" width="50.5" style="233" bestFit="1" customWidth="1"/>
    <col min="14862" max="14862" width="86" style="233" bestFit="1" customWidth="1"/>
    <col min="14863" max="15104" width="9.1640625" style="233"/>
    <col min="15105" max="15105" width="10.83203125" style="233" customWidth="1"/>
    <col min="15106" max="15106" width="9.1640625" style="233"/>
    <col min="15107" max="15107" width="32.5" style="233" customWidth="1"/>
    <col min="15108" max="15108" width="9.1640625" style="233"/>
    <col min="15109" max="15109" width="3.33203125" style="233" customWidth="1"/>
    <col min="15110" max="15110" width="9.1640625" style="233"/>
    <col min="15111" max="15111" width="10.1640625" style="233" customWidth="1"/>
    <col min="15112" max="15112" width="9.5" style="233" customWidth="1"/>
    <col min="15113" max="15115" width="0" style="233" hidden="1" customWidth="1"/>
    <col min="15116" max="15116" width="13.33203125" style="233" customWidth="1"/>
    <col min="15117" max="15117" width="50.5" style="233" bestFit="1" customWidth="1"/>
    <col min="15118" max="15118" width="86" style="233" bestFit="1" customWidth="1"/>
    <col min="15119" max="15360" width="9.1640625" style="233"/>
    <col min="15361" max="15361" width="10.83203125" style="233" customWidth="1"/>
    <col min="15362" max="15362" width="9.1640625" style="233"/>
    <col min="15363" max="15363" width="32.5" style="233" customWidth="1"/>
    <col min="15364" max="15364" width="9.1640625" style="233"/>
    <col min="15365" max="15365" width="3.33203125" style="233" customWidth="1"/>
    <col min="15366" max="15366" width="9.1640625" style="233"/>
    <col min="15367" max="15367" width="10.1640625" style="233" customWidth="1"/>
    <col min="15368" max="15368" width="9.5" style="233" customWidth="1"/>
    <col min="15369" max="15371" width="0" style="233" hidden="1" customWidth="1"/>
    <col min="15372" max="15372" width="13.33203125" style="233" customWidth="1"/>
    <col min="15373" max="15373" width="50.5" style="233" bestFit="1" customWidth="1"/>
    <col min="15374" max="15374" width="86" style="233" bestFit="1" customWidth="1"/>
    <col min="15375" max="15616" width="9.1640625" style="233"/>
    <col min="15617" max="15617" width="10.83203125" style="233" customWidth="1"/>
    <col min="15618" max="15618" width="9.1640625" style="233"/>
    <col min="15619" max="15619" width="32.5" style="233" customWidth="1"/>
    <col min="15620" max="15620" width="9.1640625" style="233"/>
    <col min="15621" max="15621" width="3.33203125" style="233" customWidth="1"/>
    <col min="15622" max="15622" width="9.1640625" style="233"/>
    <col min="15623" max="15623" width="10.1640625" style="233" customWidth="1"/>
    <col min="15624" max="15624" width="9.5" style="233" customWidth="1"/>
    <col min="15625" max="15627" width="0" style="233" hidden="1" customWidth="1"/>
    <col min="15628" max="15628" width="13.33203125" style="233" customWidth="1"/>
    <col min="15629" max="15629" width="50.5" style="233" bestFit="1" customWidth="1"/>
    <col min="15630" max="15630" width="86" style="233" bestFit="1" customWidth="1"/>
    <col min="15631" max="15872" width="9.1640625" style="233"/>
    <col min="15873" max="15873" width="10.83203125" style="233" customWidth="1"/>
    <col min="15874" max="15874" width="9.1640625" style="233"/>
    <col min="15875" max="15875" width="32.5" style="233" customWidth="1"/>
    <col min="15876" max="15876" width="9.1640625" style="233"/>
    <col min="15877" max="15877" width="3.33203125" style="233" customWidth="1"/>
    <col min="15878" max="15878" width="9.1640625" style="233"/>
    <col min="15879" max="15879" width="10.1640625" style="233" customWidth="1"/>
    <col min="15880" max="15880" width="9.5" style="233" customWidth="1"/>
    <col min="15881" max="15883" width="0" style="233" hidden="1" customWidth="1"/>
    <col min="15884" max="15884" width="13.33203125" style="233" customWidth="1"/>
    <col min="15885" max="15885" width="50.5" style="233" bestFit="1" customWidth="1"/>
    <col min="15886" max="15886" width="86" style="233" bestFit="1" customWidth="1"/>
    <col min="15887" max="16128" width="9.1640625" style="233"/>
    <col min="16129" max="16129" width="10.83203125" style="233" customWidth="1"/>
    <col min="16130" max="16130" width="9.1640625" style="233"/>
    <col min="16131" max="16131" width="32.5" style="233" customWidth="1"/>
    <col min="16132" max="16132" width="9.1640625" style="233"/>
    <col min="16133" max="16133" width="3.33203125" style="233" customWidth="1"/>
    <col min="16134" max="16134" width="9.1640625" style="233"/>
    <col min="16135" max="16135" width="10.1640625" style="233" customWidth="1"/>
    <col min="16136" max="16136" width="9.5" style="233" customWidth="1"/>
    <col min="16137" max="16139" width="0" style="233" hidden="1" customWidth="1"/>
    <col min="16140" max="16140" width="13.33203125" style="233" customWidth="1"/>
    <col min="16141" max="16141" width="50.5" style="233" bestFit="1" customWidth="1"/>
    <col min="16142" max="16142" width="86" style="233" bestFit="1" customWidth="1"/>
    <col min="16143" max="16384" width="9.1640625" style="233"/>
  </cols>
  <sheetData>
    <row r="1" spans="1:14" ht="18">
      <c r="A1" s="491" t="s">
        <v>192</v>
      </c>
      <c r="B1" s="492"/>
      <c r="C1" s="492"/>
      <c r="D1" s="492"/>
      <c r="E1" s="492"/>
      <c r="F1" s="492"/>
      <c r="G1" s="492"/>
      <c r="H1" s="492"/>
      <c r="I1" s="492"/>
      <c r="J1" s="492"/>
      <c r="K1" s="492"/>
      <c r="L1" s="231"/>
    </row>
    <row r="2" spans="1:14" ht="16">
      <c r="A2" s="234" t="s">
        <v>193</v>
      </c>
      <c r="B2" s="230"/>
      <c r="C2" s="235"/>
      <c r="D2" s="230"/>
      <c r="E2" s="230"/>
      <c r="F2" s="230"/>
      <c r="G2" s="230"/>
      <c r="H2" s="230"/>
      <c r="I2" s="230"/>
      <c r="J2" s="230"/>
      <c r="K2" s="230"/>
      <c r="L2" s="231"/>
    </row>
    <row r="3" spans="1:14" ht="14.25" customHeight="1">
      <c r="A3" s="234" t="s">
        <v>194</v>
      </c>
      <c r="C3" s="236"/>
      <c r="L3" s="231"/>
    </row>
    <row r="4" spans="1:14">
      <c r="A4" s="237" t="s">
        <v>195</v>
      </c>
    </row>
    <row r="5" spans="1:14" ht="99" customHeight="1">
      <c r="A5" s="493" t="s">
        <v>196</v>
      </c>
      <c r="B5" s="494"/>
      <c r="C5" s="494"/>
      <c r="D5" s="494"/>
      <c r="E5" s="494"/>
      <c r="F5" s="494"/>
      <c r="G5" s="494"/>
      <c r="H5" s="494"/>
    </row>
    <row r="6" spans="1:14">
      <c r="A6" s="238"/>
    </row>
    <row r="7" spans="1:14">
      <c r="A7" s="238"/>
      <c r="D7" s="239"/>
      <c r="F7" s="239"/>
      <c r="N7" s="240"/>
    </row>
    <row r="8" spans="1:14" ht="30">
      <c r="D8" s="241" t="s">
        <v>54</v>
      </c>
      <c r="E8" s="240"/>
      <c r="F8" s="241" t="s">
        <v>66</v>
      </c>
      <c r="G8" s="241" t="s">
        <v>197</v>
      </c>
      <c r="H8" s="241" t="s">
        <v>197</v>
      </c>
      <c r="I8" s="241"/>
      <c r="J8" s="241"/>
      <c r="K8" s="241"/>
      <c r="L8" s="242" t="s">
        <v>198</v>
      </c>
      <c r="M8" s="243" t="s">
        <v>199</v>
      </c>
      <c r="N8" s="244" t="s">
        <v>200</v>
      </c>
    </row>
    <row r="9" spans="1:14">
      <c r="D9" s="241" t="s">
        <v>10</v>
      </c>
      <c r="E9" s="240"/>
      <c r="F9" s="241" t="s">
        <v>10</v>
      </c>
      <c r="G9" s="241" t="s">
        <v>10</v>
      </c>
      <c r="H9" s="241" t="s">
        <v>201</v>
      </c>
      <c r="I9" s="241"/>
      <c r="J9" s="241"/>
      <c r="K9" s="240"/>
      <c r="L9" s="240"/>
      <c r="N9" s="232"/>
    </row>
    <row r="10" spans="1:14" ht="15" thickBot="1">
      <c r="D10" s="239"/>
      <c r="E10" s="239"/>
      <c r="N10" s="232"/>
    </row>
    <row r="11" spans="1:14" ht="44.25" customHeight="1" thickBot="1">
      <c r="A11" s="492" t="s">
        <v>202</v>
      </c>
      <c r="B11" s="492"/>
      <c r="C11" s="492"/>
      <c r="D11" s="245"/>
      <c r="F11" s="245"/>
      <c r="G11" s="246"/>
      <c r="M11" s="243" t="str">
        <f>IF(F11=D26,"Explanation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247"/>
    </row>
    <row r="12" spans="1:14" ht="15" thickBot="1">
      <c r="D12" s="246"/>
      <c r="F12" s="246"/>
      <c r="N12" s="232"/>
    </row>
    <row r="13" spans="1:14" ht="31.5" customHeight="1" thickBot="1">
      <c r="A13" s="495" t="s">
        <v>203</v>
      </c>
      <c r="B13" s="496"/>
      <c r="C13" s="497"/>
      <c r="D13" s="245"/>
      <c r="F13" s="245"/>
      <c r="G13" s="246">
        <f>F13-D13</f>
        <v>0</v>
      </c>
      <c r="H13" s="248">
        <f>IF((D13&gt;F13),(D13-F13)/D13,IF(D13&lt;F13,-(D13-F13)/D13,IF(D13=F13,0)))</f>
        <v>0</v>
      </c>
      <c r="I13" s="233">
        <f>IF(D13-F13&lt;200,0,IF(D13-F13&gt;200,1,IF(D13-F13=200,1)))</f>
        <v>0</v>
      </c>
      <c r="J13" s="233">
        <f>IF(F13-D13&lt;200,0,IF(F13-D13&gt;200,1,IF(F13-D13=200,1)))</f>
        <v>0</v>
      </c>
      <c r="K13" s="239">
        <f>IF(H13&lt;0.15,0,IF(H13&gt;0.15,1,IF(H13=0.15,1)))</f>
        <v>0</v>
      </c>
      <c r="L13" s="239" t="str">
        <f>IF((H13&lt;15%)*AND(G13&lt;100000)*OR(G13&gt;-100000), "NO","YES")</f>
        <v>NO</v>
      </c>
      <c r="M13" s="243" t="s">
        <v>216</v>
      </c>
      <c r="N13" s="247"/>
    </row>
    <row r="14" spans="1:14" ht="15" thickBot="1">
      <c r="D14" s="246"/>
      <c r="F14" s="246"/>
      <c r="G14" s="246"/>
      <c r="H14" s="248"/>
      <c r="K14" s="239"/>
      <c r="L14" s="239"/>
      <c r="N14" s="232"/>
    </row>
    <row r="15" spans="1:14" ht="31" thickBot="1">
      <c r="A15" s="490" t="s">
        <v>204</v>
      </c>
      <c r="B15" s="490"/>
      <c r="C15" s="490"/>
      <c r="D15" s="245"/>
      <c r="F15" s="245"/>
      <c r="G15" s="246">
        <f>F15-D15</f>
        <v>0</v>
      </c>
      <c r="H15" s="248">
        <f>IF((D15&gt;F15),(D15-F15)/D15,IF(D15&lt;F15,-(D15-F15)/D15,IF(D15=F15,0)))</f>
        <v>0</v>
      </c>
      <c r="I15" s="233">
        <f>IF(D15-F15&lt;200,0,IF(D15-F15&gt;200,1,IF(D15-F15=200,1)))</f>
        <v>0</v>
      </c>
      <c r="J15" s="233">
        <f>IF(F15-D15&lt;200,0,IF(F15-D15&gt;200,1,IF(F15-D15=200,1)))</f>
        <v>0</v>
      </c>
      <c r="K15" s="239">
        <f>IF(H15&lt;0.15,0,IF(H15&gt;0.15,1,IF(H15=0.15,1)))</f>
        <v>0</v>
      </c>
      <c r="L15" s="239" t="str">
        <f>IF((H15&lt;15%)*AND(G15&lt;100000)*OR(G15&gt;-100000), "NO","YES")</f>
        <v>NO</v>
      </c>
      <c r="M15" s="243" t="s">
        <v>217</v>
      </c>
      <c r="N15" s="247"/>
    </row>
    <row r="16" spans="1:14" ht="30">
      <c r="A16" s="249"/>
      <c r="B16" s="249"/>
      <c r="C16" s="249"/>
      <c r="D16" s="257"/>
      <c r="F16" s="257"/>
      <c r="G16" s="246">
        <f>14590+363-1200</f>
        <v>13753</v>
      </c>
      <c r="H16" s="248"/>
      <c r="K16" s="239"/>
      <c r="L16" s="239"/>
      <c r="M16" s="258" t="s">
        <v>218</v>
      </c>
      <c r="N16" s="232"/>
    </row>
    <row r="17" spans="1:14" ht="30">
      <c r="A17" s="249"/>
      <c r="B17" s="249"/>
      <c r="C17" s="249"/>
      <c r="D17" s="257"/>
      <c r="F17" s="257"/>
      <c r="G17" s="246"/>
      <c r="H17" s="248"/>
      <c r="K17" s="239"/>
      <c r="L17" s="239"/>
      <c r="M17" s="258" t="s">
        <v>219</v>
      </c>
      <c r="N17" s="232"/>
    </row>
    <row r="18" spans="1:14" ht="30">
      <c r="A18" s="249"/>
      <c r="B18" s="249"/>
      <c r="C18" s="249"/>
      <c r="D18" s="257"/>
      <c r="F18" s="257"/>
      <c r="G18" s="246"/>
      <c r="H18" s="248"/>
      <c r="K18" s="239"/>
      <c r="L18" s="239"/>
      <c r="M18" s="258" t="s">
        <v>220</v>
      </c>
      <c r="N18" s="232"/>
    </row>
    <row r="19" spans="1:14" ht="15" thickBot="1">
      <c r="D19" s="246"/>
      <c r="F19" s="246"/>
      <c r="G19" s="246"/>
      <c r="H19" s="248"/>
      <c r="K19" s="239"/>
      <c r="L19" s="239"/>
      <c r="N19" s="232"/>
    </row>
    <row r="20" spans="1:14" ht="20" customHeight="1" thickBot="1">
      <c r="A20" s="490" t="s">
        <v>205</v>
      </c>
      <c r="B20" s="490"/>
      <c r="C20" s="490"/>
      <c r="D20" s="245"/>
      <c r="F20" s="245"/>
      <c r="G20" s="246">
        <f>F20-D20</f>
        <v>0</v>
      </c>
      <c r="H20" s="248">
        <f>IF((D20&gt;F20),(D20-F20)/D20,IF(D20&lt;F20,-(D20-F20)/D20,IF(D20=F20,0)))</f>
        <v>0</v>
      </c>
      <c r="I20" s="233">
        <f>IF(D20-F20&lt;200,0,IF(D20-F20&gt;200,1,IF(D20-F20=200,1)))</f>
        <v>0</v>
      </c>
      <c r="J20" s="233">
        <f>IF(F20-D20&lt;200,0,IF(F20-D20&gt;200,1,IF(F20-D20=200,1)))</f>
        <v>0</v>
      </c>
      <c r="K20" s="239">
        <f>IF(H20&lt;0.15,0,IF(H20&gt;0.15,1,IF(H20=0.15,1)))</f>
        <v>0</v>
      </c>
      <c r="L20" s="239" t="str">
        <f>IF((H20&lt;15%)*AND(G20&lt;100000)*OR(G20&gt;-100000), "NO","YES")</f>
        <v>NO</v>
      </c>
      <c r="M20" s="243" t="str">
        <f>IF((L20="YES")*AND(I20+J20&lt;1),"Explanation not required, difference less than £200"," ")</f>
        <v xml:space="preserve"> </v>
      </c>
      <c r="N20" s="247"/>
    </row>
    <row r="21" spans="1:14" ht="15" thickBot="1">
      <c r="D21" s="246"/>
      <c r="F21" s="246"/>
      <c r="G21" s="246"/>
      <c r="H21" s="248"/>
      <c r="K21" s="239"/>
      <c r="L21" s="239"/>
      <c r="N21" s="232"/>
    </row>
    <row r="22" spans="1:14" ht="20" customHeight="1" thickBot="1">
      <c r="A22" s="490" t="s">
        <v>206</v>
      </c>
      <c r="B22" s="490"/>
      <c r="C22" s="490"/>
      <c r="D22" s="245"/>
      <c r="F22" s="245"/>
      <c r="G22" s="246">
        <f>F22-D22</f>
        <v>0</v>
      </c>
      <c r="H22" s="248">
        <f>IF((D22&gt;F22),(D22-F22)/D22,IF(D22&lt;F22,-(D22-F22)/D22,IF(D22=F22,0)))</f>
        <v>0</v>
      </c>
      <c r="I22" s="233">
        <f>IF(D22-F22&lt;200,0,IF(D22-F22&gt;200,1,IF(D22-F22=200,1)))</f>
        <v>0</v>
      </c>
      <c r="J22" s="233">
        <f>IF(F22-D22&lt;200,0,IF(F22-D22&gt;200,1,IF(F22-D22=200,1)))</f>
        <v>0</v>
      </c>
      <c r="K22" s="239">
        <f>IF(H22&lt;0.15,0,IF(H22&gt;0.15,1,IF(H22=0.15,1)))</f>
        <v>0</v>
      </c>
      <c r="L22" s="239" t="str">
        <f>IF((H22&lt;15%)*AND(G22&lt;100000)*OR(G22&gt;-100000), "NO","YES")</f>
        <v>NO</v>
      </c>
      <c r="M22" s="243" t="str">
        <f>IF((L22="YES")*AND(I22+J22&lt;1),"Explanation not required, difference less than £200"," ")</f>
        <v xml:space="preserve"> </v>
      </c>
      <c r="N22" s="247"/>
    </row>
    <row r="23" spans="1:14" ht="15" thickBot="1">
      <c r="D23" s="246"/>
      <c r="F23" s="246"/>
      <c r="G23" s="246"/>
      <c r="H23" s="248"/>
      <c r="K23" s="239"/>
      <c r="L23" s="239"/>
      <c r="N23" s="232"/>
    </row>
    <row r="24" spans="1:14" ht="20" customHeight="1" thickBot="1">
      <c r="A24" s="490" t="s">
        <v>207</v>
      </c>
      <c r="B24" s="490"/>
      <c r="C24" s="490"/>
      <c r="D24" s="245"/>
      <c r="F24" s="245"/>
      <c r="G24" s="246">
        <f>F24-D24</f>
        <v>0</v>
      </c>
      <c r="H24" s="248">
        <f>IF((D24&gt;F24),(D24-F24)/D24,IF(D24&lt;F24,-(D24-F24)/D24,IF(D24=F24,0)))</f>
        <v>0</v>
      </c>
      <c r="I24" s="233">
        <f>IF(D24-F24&lt;200,0,IF(D24-F24&gt;200,1,IF(D24-F24=200,1)))</f>
        <v>0</v>
      </c>
      <c r="J24" s="233">
        <f>IF(F24-D24&lt;200,0,IF(F24-D24&gt;200,1,IF(F24-D24=200,1)))</f>
        <v>0</v>
      </c>
      <c r="K24" s="239">
        <f>IF(H24&lt;0.15,0,IF(H24&gt;0.15,1,IF(H24=0.15,1)))</f>
        <v>0</v>
      </c>
      <c r="L24" s="239" t="str">
        <f>IF((H24&lt;15%)*AND(G24&lt;100000)*OR(G24&gt;-100000), "NO","YES")</f>
        <v>NO</v>
      </c>
      <c r="M24" s="243" t="str">
        <f>IF((L24="YES")*AND(I24+J24&lt;1),"Explanation not required, difference less than £200"," ")</f>
        <v xml:space="preserve"> </v>
      </c>
      <c r="N24" s="247"/>
    </row>
    <row r="25" spans="1:14" ht="15" thickBot="1">
      <c r="D25" s="246"/>
      <c r="F25" s="246"/>
      <c r="G25" s="246"/>
      <c r="H25" s="248"/>
      <c r="K25" s="239"/>
      <c r="L25" s="239"/>
      <c r="N25" s="232"/>
    </row>
    <row r="26" spans="1:14" ht="20" customHeight="1" thickBot="1">
      <c r="A26" s="249" t="s">
        <v>208</v>
      </c>
      <c r="D26" s="250"/>
      <c r="F26" s="250"/>
      <c r="G26" s="246"/>
      <c r="H26" s="248"/>
      <c r="K26" s="239"/>
      <c r="L26" s="239"/>
      <c r="M26" s="251" t="s">
        <v>209</v>
      </c>
      <c r="N26" s="232"/>
    </row>
    <row r="27" spans="1:14" ht="15">
      <c r="A27" s="249"/>
      <c r="D27" s="252"/>
      <c r="F27" s="252"/>
      <c r="G27" s="246">
        <f>F26-39943</f>
        <v>-39943</v>
      </c>
      <c r="H27" s="248"/>
      <c r="K27" s="239"/>
      <c r="L27" s="253" t="str">
        <f>IF(F26&gt;(2*F13),"YES","NO")</f>
        <v>NO</v>
      </c>
      <c r="M27" s="254" t="str">
        <f>IF(F26&gt;(2*F13),"EXPLANATION REQUIRED ON RESERVES TAB AS TO WHY CARRY FORWARD RESERVES ARE GREATER THAN TWICE INCOME FROM LOCAL TAXATION/LEVIES"," ")</f>
        <v xml:space="preserve"> </v>
      </c>
      <c r="N27" s="232"/>
    </row>
    <row r="28" spans="1:14" ht="15">
      <c r="A28" s="249"/>
      <c r="D28" s="252"/>
      <c r="F28" s="252"/>
      <c r="G28" s="246"/>
      <c r="H28" s="248"/>
      <c r="K28" s="239"/>
      <c r="L28" s="253"/>
      <c r="M28" s="259" t="s">
        <v>221</v>
      </c>
      <c r="N28" s="232"/>
    </row>
    <row r="29" spans="1:14" ht="15" thickBot="1">
      <c r="D29" s="246"/>
      <c r="F29" s="246"/>
      <c r="G29" s="246"/>
      <c r="H29" s="248"/>
      <c r="K29" s="239"/>
      <c r="L29" s="239"/>
      <c r="N29" s="232"/>
    </row>
    <row r="30" spans="1:14" ht="20" customHeight="1" thickBot="1">
      <c r="A30" s="490" t="s">
        <v>210</v>
      </c>
      <c r="B30" s="490"/>
      <c r="C30" s="490"/>
      <c r="D30" s="245"/>
      <c r="F30" s="245"/>
      <c r="G30" s="246"/>
      <c r="H30" s="248"/>
      <c r="K30" s="239"/>
      <c r="L30" s="239"/>
      <c r="M30" s="251" t="s">
        <v>209</v>
      </c>
      <c r="N30" s="232"/>
    </row>
    <row r="31" spans="1:14" ht="15" thickBot="1">
      <c r="D31" s="246"/>
      <c r="F31" s="246"/>
      <c r="G31" s="246"/>
      <c r="H31" s="248"/>
      <c r="K31" s="239"/>
      <c r="L31" s="239"/>
      <c r="N31" s="232"/>
    </row>
    <row r="32" spans="1:14" ht="20" customHeight="1" thickBot="1">
      <c r="A32" s="490" t="s">
        <v>211</v>
      </c>
      <c r="B32" s="490"/>
      <c r="C32" s="490"/>
      <c r="D32" s="245"/>
      <c r="F32" s="245"/>
      <c r="G32" s="246">
        <f>F32-D32</f>
        <v>0</v>
      </c>
      <c r="H32" s="248">
        <f>IF((D32&gt;F32),(D32-F32)/D32,IF(D32&lt;F32,-(D32-F32)/D32,IF(D32=F32,0)))</f>
        <v>0</v>
      </c>
      <c r="I32" s="233">
        <f>IF(D32-F32&lt;200,0,IF(D32-F32&gt;200,1,IF(D32-F32=200,1)))</f>
        <v>0</v>
      </c>
      <c r="J32" s="233">
        <f>IF(F32-D32&lt;200,0,IF(F32-D32&gt;200,1,IF(F32-D32=200,1)))</f>
        <v>0</v>
      </c>
      <c r="K32" s="239">
        <f>IF(H32&lt;0.15,0,IF(H32&gt;0.15,1,IF(H32=0.15,1)))</f>
        <v>0</v>
      </c>
      <c r="L32" s="239" t="str">
        <f>IF((H32&lt;15%)*AND(G32&lt;100000)*OR(G32&gt;-100000), "NO","YES")</f>
        <v>NO</v>
      </c>
      <c r="M32" s="243" t="str">
        <f>IF((L32="YES")*AND(I32+J32&lt;1),"Explanation not required, difference less than £200"," ")</f>
        <v xml:space="preserve"> </v>
      </c>
      <c r="N32" s="247"/>
    </row>
    <row r="33" spans="1:22" ht="15" thickBot="1">
      <c r="D33" s="246"/>
      <c r="F33" s="246"/>
      <c r="G33" s="246"/>
      <c r="H33" s="248"/>
      <c r="K33" s="239"/>
      <c r="L33" s="239"/>
      <c r="N33" s="232"/>
    </row>
    <row r="34" spans="1:22" ht="20" customHeight="1" thickBot="1">
      <c r="A34" s="490" t="s">
        <v>212</v>
      </c>
      <c r="B34" s="490"/>
      <c r="C34" s="490"/>
      <c r="D34" s="245"/>
      <c r="F34" s="245"/>
      <c r="G34" s="246">
        <f>F34-D34</f>
        <v>0</v>
      </c>
      <c r="H34" s="248">
        <f>IF((D34&gt;F34),(D34-F34)/D34,IF(D34&lt;F34,-(D34-F34)/D34,IF(D34=F34,0)))</f>
        <v>0</v>
      </c>
      <c r="I34" s="233">
        <f>IF(D34-F34&lt;100,0,IF(D34-F34&gt;100,1,IF(D34-F34=100,1)))</f>
        <v>0</v>
      </c>
      <c r="J34" s="233">
        <f>IF(F34-D34&lt;100,0,IF(F34-D34&gt;100,1,IF(F34-D34=100,1)))</f>
        <v>0</v>
      </c>
      <c r="K34" s="239">
        <f>IF(H34&lt;0.15,0,IF(H34&gt;0.15,1,IF(H34=0.15,1)))</f>
        <v>0</v>
      </c>
      <c r="L34" s="239" t="str">
        <f>IF((H34&lt;15%)*AND(G34&lt;100000)*OR(G34&gt;-100000), "NO","YES")</f>
        <v>NO</v>
      </c>
      <c r="M34" s="243" t="str">
        <f>IF((L34="YES")*AND(I34+J34&lt;1),"Explanation not required, difference less than £200"," ")</f>
        <v xml:space="preserve"> </v>
      </c>
      <c r="N34" s="247"/>
    </row>
    <row r="35" spans="1:22">
      <c r="H35" s="248"/>
      <c r="K35" s="239"/>
      <c r="L35" s="239"/>
      <c r="N35" s="232"/>
    </row>
    <row r="36" spans="1:22">
      <c r="C36" s="255" t="s">
        <v>213</v>
      </c>
    </row>
    <row r="37" spans="1:22" ht="15" customHeight="1">
      <c r="O37" s="256"/>
      <c r="P37" s="256"/>
      <c r="Q37" s="256"/>
      <c r="R37" s="256"/>
      <c r="S37" s="256"/>
      <c r="T37" s="256"/>
      <c r="U37" s="256"/>
      <c r="V37" s="256"/>
    </row>
    <row r="38" spans="1:22">
      <c r="C38" s="255" t="s">
        <v>214</v>
      </c>
      <c r="N38" s="256"/>
      <c r="O38" s="256"/>
      <c r="P38" s="256"/>
      <c r="Q38" s="256"/>
      <c r="R38" s="256"/>
      <c r="S38" s="256"/>
      <c r="T38" s="256"/>
      <c r="U38" s="256"/>
      <c r="V38" s="256"/>
    </row>
    <row r="40" spans="1:22">
      <c r="C40" s="255" t="s">
        <v>215</v>
      </c>
    </row>
  </sheetData>
  <mergeCells count="11">
    <mergeCell ref="A20:C20"/>
    <mergeCell ref="A1:K1"/>
    <mergeCell ref="A5:H5"/>
    <mergeCell ref="A11:C11"/>
    <mergeCell ref="A13:C13"/>
    <mergeCell ref="A15:C15"/>
    <mergeCell ref="A22:C22"/>
    <mergeCell ref="A24:C24"/>
    <mergeCell ref="A30:C30"/>
    <mergeCell ref="A32:C32"/>
    <mergeCell ref="A34:C34"/>
  </mergeCells>
  <pageMargins left="0.70866141732283472" right="0.70866141732283472" top="0.74803149606299213" bottom="0.74803149606299213" header="0.31496062992125984" footer="0.31496062992125984"/>
  <pageSetup paperSize="9" scale="54" orientation="landscape"/>
  <ignoredErrors>
    <ignoredError sqref="E29:E32 E11:E15 E19:E27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3A6D5-252E-FA43-8A60-4E46075B8B44}">
  <dimension ref="A1:J57"/>
  <sheetViews>
    <sheetView zoomScale="143" zoomScaleNormal="143" workbookViewId="0">
      <selection activeCell="D11" sqref="D11"/>
    </sheetView>
  </sheetViews>
  <sheetFormatPr baseColWidth="10" defaultRowHeight="13"/>
  <cols>
    <col min="1" max="1" width="36" style="28" customWidth="1"/>
    <col min="2" max="2" width="7.33203125" style="28" customWidth="1"/>
    <col min="3" max="5" width="11.5" style="28" bestFit="1" customWidth="1"/>
    <col min="6" max="6" width="7.33203125" style="28" customWidth="1"/>
    <col min="7" max="7" width="15.83203125" style="28" customWidth="1"/>
    <col min="8" max="8" width="14" style="28" customWidth="1"/>
    <col min="9" max="9" width="11.5" style="28" bestFit="1" customWidth="1"/>
    <col min="10" max="10" width="3" style="28" customWidth="1"/>
    <col min="11" max="16384" width="10.83203125" style="28"/>
  </cols>
  <sheetData>
    <row r="1" spans="1:10" ht="17" thickBot="1">
      <c r="A1" s="109" t="s">
        <v>139</v>
      </c>
      <c r="B1" s="110"/>
      <c r="C1" s="110"/>
      <c r="D1" s="110"/>
      <c r="E1" s="110"/>
      <c r="F1" s="111"/>
      <c r="G1" s="30"/>
      <c r="H1" s="30"/>
      <c r="I1" s="30"/>
      <c r="J1" s="30"/>
    </row>
    <row r="2" spans="1:10" ht="16">
      <c r="A2" s="108"/>
      <c r="B2" s="30"/>
      <c r="C2" s="30"/>
      <c r="D2" s="30"/>
      <c r="E2" s="30"/>
      <c r="F2" s="30"/>
      <c r="G2" s="30"/>
      <c r="H2" s="30"/>
      <c r="I2" s="30"/>
      <c r="J2" s="30"/>
    </row>
    <row r="3" spans="1:10" ht="16">
      <c r="A3" s="27" t="s">
        <v>45</v>
      </c>
      <c r="B3" s="27"/>
      <c r="C3" s="27"/>
      <c r="D3" s="27"/>
      <c r="E3" s="27"/>
      <c r="F3" s="27"/>
      <c r="G3" s="27"/>
      <c r="H3" s="27"/>
      <c r="I3" s="27"/>
      <c r="J3" s="27"/>
    </row>
    <row r="4" spans="1:10" ht="16">
      <c r="A4" s="38" t="s">
        <v>15</v>
      </c>
      <c r="B4" s="30"/>
      <c r="C4" s="498" t="s">
        <v>119</v>
      </c>
      <c r="D4" s="499"/>
      <c r="E4" s="500"/>
      <c r="F4" s="30"/>
      <c r="G4" s="498" t="s">
        <v>66</v>
      </c>
      <c r="H4" s="499"/>
      <c r="I4" s="500"/>
      <c r="J4" s="30"/>
    </row>
    <row r="5" spans="1:10" ht="16">
      <c r="A5" s="151" t="s">
        <v>97</v>
      </c>
      <c r="B5" s="27"/>
      <c r="C5" s="36">
        <f>'Budget vs Actual  '!B54</f>
        <v>11992.689999999999</v>
      </c>
      <c r="D5" s="36"/>
      <c r="E5" s="36"/>
      <c r="F5" s="27"/>
      <c r="G5" s="36" t="s">
        <v>8</v>
      </c>
      <c r="H5" s="36" t="s">
        <v>8</v>
      </c>
      <c r="I5" s="36" t="s">
        <v>8</v>
      </c>
      <c r="J5" s="27"/>
    </row>
    <row r="6" spans="1:10" ht="16">
      <c r="A6" s="205" t="s">
        <v>46</v>
      </c>
      <c r="B6" s="27"/>
      <c r="C6" s="36" t="s">
        <v>8</v>
      </c>
      <c r="D6" s="36">
        <f>'Budget vs Actual  '!B55</f>
        <v>200</v>
      </c>
      <c r="E6" s="36"/>
      <c r="F6" s="27"/>
      <c r="G6" s="36"/>
      <c r="H6" s="36"/>
      <c r="I6" s="36"/>
      <c r="J6" s="27"/>
    </row>
    <row r="7" spans="1:10" ht="16">
      <c r="A7" s="229" t="s">
        <v>9</v>
      </c>
      <c r="B7" s="27"/>
      <c r="C7" s="36"/>
      <c r="D7" s="36" t="e">
        <f>'Bank Rec'!#REF!</f>
        <v>#REF!</v>
      </c>
      <c r="E7" s="36"/>
      <c r="F7" s="27"/>
      <c r="G7" s="36"/>
      <c r="H7" s="36"/>
      <c r="I7" s="36"/>
      <c r="J7" s="27"/>
    </row>
    <row r="8" spans="1:10" ht="16">
      <c r="A8" s="151" t="s">
        <v>4</v>
      </c>
      <c r="B8" s="27"/>
      <c r="C8" s="43">
        <f>'Budget vs Actual  '!B59</f>
        <v>23186.010000000002</v>
      </c>
      <c r="D8" s="36"/>
      <c r="E8" s="36"/>
      <c r="F8" s="27"/>
      <c r="G8" s="36"/>
      <c r="H8" s="36"/>
      <c r="I8" s="36"/>
      <c r="J8" s="27"/>
    </row>
    <row r="9" spans="1:10" ht="16">
      <c r="A9" s="151" t="s">
        <v>104</v>
      </c>
      <c r="B9" s="27"/>
      <c r="C9" s="36" t="s">
        <v>8</v>
      </c>
      <c r="D9" s="36">
        <f>'Budget vs Actual  '!B60</f>
        <v>40</v>
      </c>
      <c r="E9" s="36"/>
      <c r="F9" s="27"/>
      <c r="G9" s="36"/>
      <c r="H9" s="36"/>
      <c r="I9" s="36"/>
      <c r="J9" s="27"/>
    </row>
    <row r="10" spans="1:10" ht="16">
      <c r="A10" s="151" t="s">
        <v>99</v>
      </c>
      <c r="B10" s="27"/>
      <c r="C10" s="36" t="s">
        <v>8</v>
      </c>
      <c r="D10" s="36">
        <f>'Budget vs Actual  '!B61</f>
        <v>926.12</v>
      </c>
      <c r="E10" s="36"/>
      <c r="F10" s="27"/>
      <c r="G10" s="43"/>
      <c r="H10" s="36"/>
      <c r="I10" s="36"/>
      <c r="J10" s="27"/>
    </row>
    <row r="11" spans="1:10" ht="17" thickBot="1">
      <c r="A11" s="38" t="s">
        <v>47</v>
      </c>
      <c r="B11" s="30"/>
      <c r="C11" s="41">
        <f>SUM(C6:C10)</f>
        <v>23186.010000000002</v>
      </c>
      <c r="D11" s="41" t="e">
        <f>SUM(D6:D10)</f>
        <v>#REF!</v>
      </c>
      <c r="E11" s="41" t="e">
        <f>D11+C11</f>
        <v>#REF!</v>
      </c>
      <c r="F11" s="30"/>
      <c r="G11" s="41">
        <f>SUM(G5:G10)</f>
        <v>0</v>
      </c>
      <c r="H11" s="41">
        <f>SUM(H5:H10)</f>
        <v>0</v>
      </c>
      <c r="I11" s="41">
        <f>H11+G11</f>
        <v>0</v>
      </c>
      <c r="J11" s="27"/>
    </row>
    <row r="12" spans="1:10" ht="17" thickTop="1">
      <c r="A12" s="30"/>
      <c r="B12" s="30"/>
      <c r="C12" s="30"/>
      <c r="D12" s="30"/>
      <c r="E12" s="30"/>
      <c r="F12" s="30"/>
      <c r="G12" s="30"/>
      <c r="H12" s="30"/>
      <c r="I12" s="30"/>
      <c r="J12" s="27"/>
    </row>
    <row r="13" spans="1:10" s="39" customFormat="1" ht="16">
      <c r="A13" s="27"/>
      <c r="B13" s="27"/>
      <c r="C13" s="27"/>
      <c r="D13" s="27"/>
      <c r="E13" s="27"/>
      <c r="F13" s="27"/>
      <c r="G13" s="27"/>
      <c r="H13" s="27"/>
      <c r="I13" s="27"/>
      <c r="J13" s="30"/>
    </row>
    <row r="14" spans="1:10" s="39" customFormat="1" ht="16">
      <c r="A14" s="38" t="s">
        <v>11</v>
      </c>
      <c r="B14" s="30"/>
      <c r="C14" s="498" t="s">
        <v>119</v>
      </c>
      <c r="D14" s="499"/>
      <c r="E14" s="500"/>
      <c r="F14" s="30"/>
      <c r="G14" s="498" t="s">
        <v>66</v>
      </c>
      <c r="H14" s="499"/>
      <c r="I14" s="500"/>
      <c r="J14" s="30"/>
    </row>
    <row r="15" spans="1:10" s="39" customFormat="1" ht="16">
      <c r="A15" s="35" t="s">
        <v>27</v>
      </c>
      <c r="B15" s="33"/>
      <c r="C15" s="37">
        <f ca="1">'Budget vs Actual  '!B4</f>
        <v>68.33</v>
      </c>
      <c r="D15" s="34"/>
      <c r="E15" s="34"/>
      <c r="F15" s="33"/>
      <c r="G15" s="37"/>
      <c r="H15" s="34"/>
      <c r="I15" s="34" t="s">
        <v>8</v>
      </c>
      <c r="J15" s="30"/>
    </row>
    <row r="16" spans="1:10" s="39" customFormat="1" ht="16">
      <c r="A16" s="35" t="s">
        <v>1</v>
      </c>
      <c r="B16" s="33"/>
      <c r="C16" s="34">
        <f ca="1">'Budget vs Actual  '!B5</f>
        <v>462.31</v>
      </c>
      <c r="D16" s="34"/>
      <c r="E16" s="34"/>
      <c r="F16" s="33"/>
      <c r="G16" s="34"/>
      <c r="H16" s="34"/>
      <c r="I16" s="34"/>
      <c r="J16" s="30"/>
    </row>
    <row r="17" spans="1:10" s="39" customFormat="1" ht="16">
      <c r="A17" s="35" t="s">
        <v>81</v>
      </c>
      <c r="B17" s="33"/>
      <c r="C17" s="34">
        <f ca="1">'Budget vs Actual  '!B7</f>
        <v>577.69000000000005</v>
      </c>
      <c r="D17" s="34"/>
      <c r="E17" s="34"/>
      <c r="F17" s="33"/>
      <c r="G17" s="34"/>
      <c r="H17" s="34"/>
      <c r="I17" s="34"/>
      <c r="J17" s="30"/>
    </row>
    <row r="18" spans="1:10" s="39" customFormat="1" ht="16">
      <c r="A18" s="35" t="s">
        <v>82</v>
      </c>
      <c r="B18" s="33"/>
      <c r="C18" s="34">
        <f ca="1">'Budget vs Actual  '!B8</f>
        <v>1014</v>
      </c>
      <c r="D18" s="34"/>
      <c r="E18" s="34"/>
      <c r="F18" s="33"/>
      <c r="G18" s="34"/>
      <c r="H18" s="34"/>
      <c r="I18" s="34"/>
      <c r="J18" s="30"/>
    </row>
    <row r="19" spans="1:10" s="39" customFormat="1" ht="16">
      <c r="A19" s="35" t="s">
        <v>83</v>
      </c>
      <c r="B19" s="33"/>
      <c r="C19" s="34">
        <f ca="1">'Budget vs Actual  '!B9</f>
        <v>332.5</v>
      </c>
      <c r="D19" s="34"/>
      <c r="E19" s="34"/>
      <c r="F19" s="33"/>
      <c r="G19" s="34"/>
      <c r="H19" s="34"/>
      <c r="I19" s="34"/>
      <c r="J19" s="30"/>
    </row>
    <row r="20" spans="1:10" s="39" customFormat="1" ht="16">
      <c r="A20" s="35" t="s">
        <v>84</v>
      </c>
      <c r="B20" s="33"/>
      <c r="C20" s="34">
        <f ca="1">'Budget vs Actual  '!B10</f>
        <v>35</v>
      </c>
      <c r="D20" s="34"/>
      <c r="E20" s="34"/>
      <c r="F20" s="33"/>
      <c r="G20" s="34"/>
      <c r="H20" s="34"/>
      <c r="I20" s="34"/>
      <c r="J20" s="30"/>
    </row>
    <row r="21" spans="1:10" ht="16">
      <c r="A21" s="35" t="s">
        <v>85</v>
      </c>
      <c r="B21" s="33"/>
      <c r="C21" s="34">
        <f ca="1">'Budget vs Actual  '!B11</f>
        <v>96</v>
      </c>
      <c r="D21" s="34"/>
      <c r="E21" s="34"/>
      <c r="F21" s="33"/>
      <c r="G21" s="34"/>
      <c r="H21" s="34"/>
      <c r="I21" s="34"/>
      <c r="J21" s="27"/>
    </row>
    <row r="22" spans="1:10" ht="16">
      <c r="A22" s="35" t="s">
        <v>48</v>
      </c>
      <c r="B22" s="33"/>
      <c r="D22" s="34"/>
      <c r="E22" s="34"/>
      <c r="F22" s="33"/>
      <c r="G22" s="34"/>
      <c r="H22" s="34"/>
      <c r="I22" s="34"/>
      <c r="J22" s="27"/>
    </row>
    <row r="23" spans="1:10" ht="16">
      <c r="A23" s="35" t="s">
        <v>86</v>
      </c>
      <c r="B23" s="33"/>
      <c r="C23" s="34">
        <f ca="1">'Budget vs Actual  '!B13</f>
        <v>2034.2</v>
      </c>
      <c r="D23" s="34"/>
      <c r="E23" s="34"/>
      <c r="F23" s="33"/>
      <c r="G23" s="34"/>
      <c r="H23" s="34"/>
      <c r="I23" s="34"/>
      <c r="J23" s="30"/>
    </row>
    <row r="24" spans="1:10" ht="16">
      <c r="A24" s="35" t="s">
        <v>95</v>
      </c>
      <c r="B24" s="33"/>
      <c r="C24" s="34">
        <f ca="1">'Budget vs Actual  '!B14</f>
        <v>201.25</v>
      </c>
      <c r="D24" s="34"/>
      <c r="E24" s="34"/>
      <c r="F24" s="33"/>
      <c r="G24" s="34"/>
      <c r="H24" s="34"/>
      <c r="I24" s="34"/>
      <c r="J24" s="33"/>
    </row>
    <row r="25" spans="1:10" ht="16">
      <c r="A25" s="35" t="s">
        <v>12</v>
      </c>
      <c r="B25" s="33"/>
      <c r="C25" s="34">
        <f ca="1">'Budget vs Actual  '!B15</f>
        <v>144.71</v>
      </c>
      <c r="D25" s="34"/>
      <c r="E25" s="34"/>
      <c r="F25" s="33"/>
      <c r="G25" s="34"/>
      <c r="H25" s="34"/>
      <c r="I25" s="34"/>
      <c r="J25" s="33"/>
    </row>
    <row r="26" spans="1:10" ht="16">
      <c r="A26" s="35" t="s">
        <v>87</v>
      </c>
      <c r="B26" s="33"/>
      <c r="C26" s="34">
        <f ca="1">'Budget vs Actual  '!B16</f>
        <v>229.98999999999992</v>
      </c>
      <c r="D26" s="34"/>
      <c r="E26" s="34"/>
      <c r="F26" s="33"/>
      <c r="G26" s="34"/>
      <c r="H26" s="34"/>
      <c r="I26" s="34"/>
      <c r="J26" s="33"/>
    </row>
    <row r="27" spans="1:10" ht="16">
      <c r="A27" s="35" t="s">
        <v>88</v>
      </c>
      <c r="B27" s="33"/>
      <c r="C27" s="34">
        <f ca="1">'Budget vs Actual  '!B17</f>
        <v>1080</v>
      </c>
      <c r="D27" s="34"/>
      <c r="E27" s="34"/>
      <c r="F27" s="33"/>
      <c r="G27" s="34"/>
      <c r="H27" s="34"/>
      <c r="I27" s="34"/>
      <c r="J27" s="33"/>
    </row>
    <row r="28" spans="1:10" ht="16">
      <c r="A28" s="35" t="s">
        <v>101</v>
      </c>
      <c r="B28" s="33"/>
      <c r="C28" s="34">
        <f ca="1">'Budget vs Actual  '!B18</f>
        <v>49.5</v>
      </c>
      <c r="D28" s="34"/>
      <c r="E28" s="34"/>
      <c r="F28" s="33"/>
      <c r="G28" s="34"/>
      <c r="H28" s="34"/>
      <c r="I28" s="34"/>
      <c r="J28" s="33"/>
    </row>
    <row r="29" spans="1:10" ht="16">
      <c r="A29" s="35" t="s">
        <v>0</v>
      </c>
      <c r="B29" s="33"/>
      <c r="C29" s="34">
        <f ca="1">'Budget vs Actual  '!B19</f>
        <v>637.14</v>
      </c>
      <c r="D29" s="34"/>
      <c r="E29" s="34"/>
      <c r="F29" s="33"/>
      <c r="G29" s="34"/>
      <c r="H29" s="34"/>
      <c r="I29" s="34"/>
      <c r="J29" s="33"/>
    </row>
    <row r="30" spans="1:10" ht="16">
      <c r="A30" s="35" t="s">
        <v>141</v>
      </c>
      <c r="B30" s="33"/>
      <c r="C30" s="34">
        <f ca="1">'Budget vs Actual  '!B20</f>
        <v>120</v>
      </c>
      <c r="D30" s="34"/>
      <c r="E30" s="34"/>
      <c r="F30" s="33"/>
      <c r="G30" s="34"/>
      <c r="H30" s="34"/>
      <c r="I30" s="34"/>
      <c r="J30" s="33"/>
    </row>
    <row r="31" spans="1:10" ht="16">
      <c r="A31" s="35" t="s">
        <v>89</v>
      </c>
      <c r="B31" s="33"/>
      <c r="C31" s="34">
        <f ca="1">'Budget vs Actual  '!B21</f>
        <v>135.12</v>
      </c>
      <c r="D31" s="34"/>
      <c r="E31" s="34"/>
      <c r="F31" s="33"/>
      <c r="G31" s="34"/>
      <c r="H31" s="34"/>
      <c r="I31" s="34"/>
      <c r="J31" s="33"/>
    </row>
    <row r="32" spans="1:10" ht="16">
      <c r="A32" s="35" t="s">
        <v>90</v>
      </c>
      <c r="B32" s="33"/>
      <c r="C32" s="34">
        <f ca="1">'Budget vs Actual  '!B22</f>
        <v>44.550000000000004</v>
      </c>
      <c r="D32" s="34"/>
      <c r="E32" s="34"/>
      <c r="F32" s="33"/>
      <c r="G32" s="34"/>
      <c r="H32" s="34"/>
      <c r="I32" s="34"/>
      <c r="J32" s="33"/>
    </row>
    <row r="33" spans="1:10" ht="16">
      <c r="A33" s="35" t="s">
        <v>7</v>
      </c>
      <c r="B33" s="33"/>
      <c r="C33" s="34">
        <f ca="1">'Budget vs Actual  '!B23</f>
        <v>22</v>
      </c>
      <c r="D33" s="34"/>
      <c r="E33" s="34"/>
      <c r="F33" s="33"/>
      <c r="G33" s="34"/>
      <c r="H33" s="34"/>
      <c r="I33" s="34"/>
      <c r="J33" s="33"/>
    </row>
    <row r="34" spans="1:10" ht="16">
      <c r="A34" s="35" t="s">
        <v>100</v>
      </c>
      <c r="B34" s="33"/>
      <c r="C34" s="34">
        <f>'Budget vs Actual  '!B24</f>
        <v>0</v>
      </c>
      <c r="D34" s="34"/>
      <c r="E34" s="34"/>
      <c r="F34" s="33"/>
      <c r="G34" s="34"/>
      <c r="H34" s="34"/>
      <c r="I34" s="34"/>
      <c r="J34" s="33"/>
    </row>
    <row r="35" spans="1:10" ht="16">
      <c r="A35" s="35" t="s">
        <v>91</v>
      </c>
      <c r="B35" s="33"/>
      <c r="C35" s="34">
        <f ca="1">'Budget vs Actual  '!B25</f>
        <v>186</v>
      </c>
      <c r="D35" s="34"/>
      <c r="E35" s="34"/>
      <c r="F35" s="33"/>
      <c r="G35" s="34"/>
      <c r="H35" s="34"/>
      <c r="I35" s="34"/>
      <c r="J35" s="33"/>
    </row>
    <row r="36" spans="1:10" ht="16">
      <c r="A36" s="35" t="s">
        <v>142</v>
      </c>
      <c r="B36" s="33"/>
      <c r="C36" s="34">
        <f ca="1">'Budget vs Actual  '!B26</f>
        <v>0</v>
      </c>
      <c r="D36" s="34"/>
      <c r="E36" s="34"/>
      <c r="F36" s="33"/>
      <c r="G36" s="34"/>
      <c r="H36" s="34"/>
      <c r="I36" s="34"/>
      <c r="J36" s="33"/>
    </row>
    <row r="37" spans="1:10" ht="16">
      <c r="A37" s="35" t="s">
        <v>140</v>
      </c>
      <c r="B37" s="33"/>
      <c r="C37" s="34">
        <f ca="1">'Budget vs Actual  '!B27</f>
        <v>0</v>
      </c>
      <c r="D37" s="34"/>
      <c r="E37" s="34"/>
      <c r="F37" s="33"/>
      <c r="G37" s="34"/>
      <c r="H37" s="34"/>
      <c r="I37" s="34"/>
      <c r="J37" s="33"/>
    </row>
    <row r="38" spans="1:10" ht="16">
      <c r="A38" s="35" t="s">
        <v>96</v>
      </c>
      <c r="B38" s="33"/>
      <c r="C38" s="42"/>
      <c r="D38" s="34"/>
      <c r="E38" s="34"/>
      <c r="F38" s="33"/>
      <c r="G38" s="34"/>
      <c r="H38" s="34"/>
      <c r="I38" s="34"/>
      <c r="J38" s="33"/>
    </row>
    <row r="39" spans="1:10" ht="16">
      <c r="A39" s="35" t="s">
        <v>92</v>
      </c>
      <c r="B39" s="33"/>
      <c r="C39" s="42"/>
      <c r="D39" s="34"/>
      <c r="E39" s="34"/>
      <c r="F39" s="33"/>
      <c r="G39" s="34"/>
      <c r="H39" s="34"/>
      <c r="I39" s="34"/>
      <c r="J39" s="33"/>
    </row>
    <row r="40" spans="1:10" ht="16">
      <c r="A40" s="35" t="s">
        <v>93</v>
      </c>
      <c r="B40" s="33"/>
      <c r="C40" s="42"/>
      <c r="D40" s="34">
        <f ca="1">'Budget vs Actual  '!B28</f>
        <v>4247.1399999999994</v>
      </c>
      <c r="E40" s="34"/>
      <c r="F40" s="33"/>
      <c r="H40" s="34"/>
      <c r="I40" s="34"/>
      <c r="J40" s="33"/>
    </row>
    <row r="41" spans="1:10" ht="16">
      <c r="A41" s="35" t="s">
        <v>115</v>
      </c>
      <c r="B41" s="33"/>
      <c r="C41" s="34">
        <f ca="1">'Budget vs Actual  '!B29</f>
        <v>200.98000000000002</v>
      </c>
      <c r="D41" s="34"/>
      <c r="E41" s="34"/>
      <c r="F41" s="33"/>
      <c r="G41" s="34"/>
      <c r="H41" s="34"/>
      <c r="I41" s="34"/>
      <c r="J41" s="33"/>
    </row>
    <row r="42" spans="1:10" ht="16">
      <c r="A42" s="26" t="s">
        <v>94</v>
      </c>
      <c r="B42" s="27"/>
      <c r="C42" s="34">
        <f ca="1">'Budget vs Actual  '!B30</f>
        <v>49.49</v>
      </c>
      <c r="D42" s="36"/>
      <c r="E42" s="36"/>
      <c r="F42" s="27"/>
      <c r="G42" s="36"/>
      <c r="H42" s="36"/>
      <c r="I42" s="36"/>
      <c r="J42" s="33"/>
    </row>
    <row r="43" spans="1:10" ht="16">
      <c r="A43" s="35" t="s">
        <v>30</v>
      </c>
      <c r="B43" s="33"/>
      <c r="C43" s="34">
        <f ca="1">'Budget vs Actual  '!B31</f>
        <v>317.97000000000003</v>
      </c>
      <c r="D43" s="34"/>
      <c r="E43" s="34"/>
      <c r="F43" s="33"/>
      <c r="G43" s="34"/>
      <c r="H43" s="34"/>
      <c r="I43" s="34"/>
      <c r="J43" s="33"/>
    </row>
    <row r="44" spans="1:10" ht="16">
      <c r="A44" s="35" t="s">
        <v>2</v>
      </c>
      <c r="B44" s="33"/>
      <c r="C44" s="34">
        <f ca="1">'Budget vs Actual  '!B33</f>
        <v>0</v>
      </c>
      <c r="D44" s="36"/>
      <c r="E44" s="36"/>
      <c r="F44" s="33"/>
      <c r="G44" s="34"/>
      <c r="H44" s="34"/>
      <c r="I44" s="34"/>
      <c r="J44" s="33"/>
    </row>
    <row r="45" spans="1:10" ht="16">
      <c r="A45" s="35" t="s">
        <v>13</v>
      </c>
      <c r="B45" s="33"/>
      <c r="C45" s="34">
        <f ca="1">'Budget vs Actual  '!B34</f>
        <v>735.7700000000001</v>
      </c>
      <c r="D45" s="36"/>
      <c r="E45" s="36"/>
      <c r="F45" s="33"/>
      <c r="G45" s="34"/>
      <c r="H45" s="34"/>
      <c r="I45" s="34" t="s">
        <v>8</v>
      </c>
      <c r="J45" s="33"/>
    </row>
    <row r="46" spans="1:10" ht="17" thickBot="1">
      <c r="A46" s="32" t="s">
        <v>22</v>
      </c>
      <c r="B46" s="31"/>
      <c r="C46" s="41">
        <f ca="1">SUM(C15:C45)</f>
        <v>8774.5</v>
      </c>
      <c r="D46" s="41">
        <f ca="1">SUM(D15:D45)</f>
        <v>4247.1399999999994</v>
      </c>
      <c r="E46" s="41">
        <f ca="1">D46+C46</f>
        <v>13021.64</v>
      </c>
      <c r="F46" s="31"/>
      <c r="G46" s="41">
        <f>SUM(G15:G45)</f>
        <v>0</v>
      </c>
      <c r="H46" s="41">
        <f>SUM(H15:H45)</f>
        <v>0</v>
      </c>
      <c r="I46" s="41">
        <f>H46+G46</f>
        <v>0</v>
      </c>
      <c r="J46" s="33"/>
    </row>
    <row r="47" spans="1:10" ht="17" thickTop="1">
      <c r="A47" s="27"/>
      <c r="B47" s="27"/>
      <c r="C47" s="27"/>
      <c r="D47" s="27"/>
      <c r="E47" s="27"/>
      <c r="F47" s="27"/>
      <c r="G47" s="27"/>
      <c r="H47" s="27"/>
      <c r="I47" s="29"/>
      <c r="J47" s="33"/>
    </row>
    <row r="48" spans="1:10" ht="16">
      <c r="A48" s="30"/>
      <c r="B48" s="30"/>
      <c r="C48" s="27"/>
      <c r="D48" s="27"/>
      <c r="E48" s="27"/>
      <c r="F48" s="30"/>
      <c r="G48" s="30"/>
      <c r="H48" s="30"/>
      <c r="I48" s="40"/>
      <c r="J48" s="33"/>
    </row>
    <row r="49" spans="1:10" ht="16">
      <c r="A49" s="27"/>
      <c r="B49" s="27"/>
      <c r="C49" s="27"/>
      <c r="D49" s="27"/>
      <c r="E49" s="27"/>
      <c r="F49" s="27"/>
      <c r="G49" s="27"/>
      <c r="H49" s="27"/>
      <c r="I49" s="27"/>
      <c r="J49" s="33"/>
    </row>
    <row r="50" spans="1:10" ht="16">
      <c r="C50" s="30"/>
      <c r="D50" s="30"/>
      <c r="E50" s="30"/>
      <c r="J50" s="33"/>
    </row>
    <row r="51" spans="1:10" ht="16">
      <c r="C51" s="27"/>
      <c r="D51" s="27"/>
      <c r="E51" s="27"/>
      <c r="J51" s="33"/>
    </row>
    <row r="52" spans="1:10" ht="16">
      <c r="J52" s="31"/>
    </row>
    <row r="53" spans="1:10" ht="16">
      <c r="J53" s="27"/>
    </row>
    <row r="54" spans="1:10" ht="16">
      <c r="J54" s="27"/>
    </row>
    <row r="55" spans="1:10" ht="16">
      <c r="J55" s="27"/>
    </row>
    <row r="56" spans="1:10" ht="16">
      <c r="J56" s="30"/>
    </row>
    <row r="57" spans="1:10" ht="16">
      <c r="J57" s="27"/>
    </row>
  </sheetData>
  <mergeCells count="4">
    <mergeCell ref="C14:E14"/>
    <mergeCell ref="C4:E4"/>
    <mergeCell ref="G4:I4"/>
    <mergeCell ref="G14:I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85687B-EBD2-6D46-BF9C-0B06B380F4DF}">
  <sheetPr>
    <pageSetUpPr fitToPage="1"/>
  </sheetPr>
  <dimension ref="A1:M39"/>
  <sheetViews>
    <sheetView zoomScale="139" zoomScaleNormal="130" zoomScalePageLayoutView="130" workbookViewId="0">
      <selection activeCell="G21" sqref="G21"/>
    </sheetView>
  </sheetViews>
  <sheetFormatPr baseColWidth="10" defaultRowHeight="16"/>
  <cols>
    <col min="1" max="1" width="26" style="27" customWidth="1"/>
    <col min="2" max="2" width="14.83203125" style="27" bestFit="1" customWidth="1"/>
    <col min="3" max="3" width="21.5" style="27" bestFit="1" customWidth="1"/>
    <col min="4" max="4" width="11.6640625" style="27" bestFit="1" customWidth="1"/>
    <col min="5" max="5" width="15.6640625" style="27" customWidth="1"/>
    <col min="6" max="6" width="11.83203125" style="27" customWidth="1"/>
    <col min="7" max="7" width="14" style="27" bestFit="1" customWidth="1"/>
    <col min="8" max="8" width="16.33203125" style="27" customWidth="1"/>
    <col min="9" max="9" width="14.1640625" style="27" bestFit="1" customWidth="1"/>
    <col min="10" max="10" width="13.1640625" style="27" bestFit="1" customWidth="1"/>
    <col min="11" max="11" width="11.6640625" style="27" customWidth="1"/>
    <col min="12" max="12" width="17.83203125" style="27" bestFit="1" customWidth="1"/>
    <col min="13" max="16384" width="10.83203125" style="27"/>
  </cols>
  <sheetData>
    <row r="1" spans="1:12" ht="17" thickBot="1">
      <c r="A1" s="118" t="s">
        <v>265</v>
      </c>
      <c r="B1" s="119"/>
    </row>
    <row r="2" spans="1:12">
      <c r="A2" s="276"/>
    </row>
    <row r="3" spans="1:12">
      <c r="A3" s="31"/>
      <c r="B3" s="120"/>
      <c r="C3" s="8"/>
      <c r="D3" s="8"/>
      <c r="E3" s="8"/>
      <c r="F3" s="121"/>
      <c r="G3" s="120"/>
      <c r="H3" s="120"/>
      <c r="I3" s="120"/>
      <c r="J3" s="120"/>
      <c r="K3" s="120"/>
    </row>
    <row r="4" spans="1:12" ht="17">
      <c r="A4" s="122"/>
      <c r="B4" s="324" t="s">
        <v>31</v>
      </c>
      <c r="C4" s="12" t="s">
        <v>15</v>
      </c>
      <c r="D4" s="13" t="s">
        <v>62</v>
      </c>
      <c r="E4" s="123" t="s">
        <v>32</v>
      </c>
      <c r="F4" s="124" t="s">
        <v>62</v>
      </c>
      <c r="G4" s="327" t="s">
        <v>74</v>
      </c>
      <c r="H4" s="125"/>
      <c r="I4" s="125"/>
    </row>
    <row r="5" spans="1:12">
      <c r="A5" s="305" t="s">
        <v>267</v>
      </c>
      <c r="B5" s="325">
        <v>4840.13</v>
      </c>
      <c r="C5" s="135">
        <v>0</v>
      </c>
      <c r="D5" s="135">
        <v>0</v>
      </c>
      <c r="E5" s="135">
        <f ca="1">'Payments Receipts Cash Book'!M53+'Payments Receipts Cash Book'!K50</f>
        <v>82</v>
      </c>
      <c r="F5" s="135">
        <v>0</v>
      </c>
      <c r="G5" s="326">
        <f ca="1">B5+C5+D5-E5-F5</f>
        <v>4758.13</v>
      </c>
      <c r="H5" s="17"/>
      <c r="I5" s="17"/>
    </row>
    <row r="6" spans="1:12">
      <c r="A6" s="305" t="s">
        <v>268</v>
      </c>
      <c r="B6" s="325">
        <v>7314.35</v>
      </c>
      <c r="C6" s="135">
        <f>'Payments Receipts Cash Book'!H12</f>
        <v>11992.689999999999</v>
      </c>
      <c r="D6" s="135">
        <v>0</v>
      </c>
      <c r="E6" s="135">
        <f>'Gudgeons Rec'!D17-Reserves!E18-'Gudgeons Rec'!D3-'Gudgeons Rec'!D13</f>
        <v>5320.8899999999994</v>
      </c>
      <c r="F6" s="135">
        <v>0</v>
      </c>
      <c r="G6" s="326">
        <f t="shared" ref="G6:G19" si="0">B6+C6+D6-E6-F6</f>
        <v>13986.150000000001</v>
      </c>
      <c r="H6" s="17"/>
      <c r="I6" s="17"/>
    </row>
    <row r="7" spans="1:12">
      <c r="A7" s="305" t="s">
        <v>269</v>
      </c>
      <c r="B7" s="325">
        <v>600</v>
      </c>
      <c r="C7" s="135">
        <v>0</v>
      </c>
      <c r="D7" s="135">
        <v>0</v>
      </c>
      <c r="E7" s="135">
        <f>'Payments Receipts Cash Book'!J20+'Payments Receipts Cash Book'!J24</f>
        <v>399</v>
      </c>
      <c r="F7" s="135"/>
      <c r="G7" s="326">
        <f t="shared" si="0"/>
        <v>201</v>
      </c>
      <c r="H7" s="17"/>
      <c r="I7" s="17"/>
    </row>
    <row r="8" spans="1:12">
      <c r="A8" s="475" t="s">
        <v>270</v>
      </c>
      <c r="B8" s="476">
        <v>61.74</v>
      </c>
      <c r="C8" s="476">
        <v>0</v>
      </c>
      <c r="D8" s="476" t="s">
        <v>8</v>
      </c>
      <c r="E8" s="476"/>
      <c r="F8" s="476">
        <v>61.74</v>
      </c>
      <c r="G8" s="477">
        <f>B8-F8</f>
        <v>0</v>
      </c>
      <c r="H8" s="17"/>
      <c r="I8" s="17"/>
      <c r="J8" s="128"/>
    </row>
    <row r="9" spans="1:12">
      <c r="A9" s="305" t="s">
        <v>271</v>
      </c>
      <c r="B9" s="325">
        <v>100</v>
      </c>
      <c r="C9" s="135">
        <v>0</v>
      </c>
      <c r="D9" s="135">
        <v>15.2</v>
      </c>
      <c r="E9" s="135">
        <f>'Payments Receipts Cash Book'!J41</f>
        <v>115.2</v>
      </c>
      <c r="F9" s="135">
        <v>0</v>
      </c>
      <c r="G9" s="326">
        <f t="shared" si="0"/>
        <v>0</v>
      </c>
      <c r="H9" s="17"/>
      <c r="I9" s="17"/>
      <c r="J9" s="128"/>
    </row>
    <row r="10" spans="1:12">
      <c r="A10" s="305" t="s">
        <v>272</v>
      </c>
      <c r="B10" s="325">
        <v>1150</v>
      </c>
      <c r="C10" s="135">
        <v>0</v>
      </c>
      <c r="D10" s="135">
        <v>0</v>
      </c>
      <c r="E10" s="135">
        <f ca="1">'Payments Receipts Cash Book'!V53</f>
        <v>144.71</v>
      </c>
      <c r="F10" s="135">
        <v>0</v>
      </c>
      <c r="G10" s="326">
        <f t="shared" ca="1" si="0"/>
        <v>1005.29</v>
      </c>
      <c r="H10" s="17"/>
      <c r="I10" s="17"/>
      <c r="J10" s="126" t="s">
        <v>8</v>
      </c>
    </row>
    <row r="11" spans="1:12">
      <c r="A11" s="305" t="s">
        <v>273</v>
      </c>
      <c r="B11" s="325">
        <v>7828.33</v>
      </c>
      <c r="C11" s="135">
        <f>'Payments Receipts Cash Book'!E12-C6+'Bank Rec'!C8+'Bank Rec'!C9-200</f>
        <v>24152.61</v>
      </c>
      <c r="D11" s="135">
        <f>61.74*2+34.19</f>
        <v>157.67000000000002</v>
      </c>
      <c r="E11" s="135">
        <f ca="1">'Payments Receipts Cash Book'!J53-E5-E6-E10-E15-E18-E19-E16-E7-E9-E13</f>
        <v>9692.56</v>
      </c>
      <c r="F11" s="135">
        <f>'Bank Rec'!C14</f>
        <v>0</v>
      </c>
      <c r="G11" s="326">
        <f ca="1">B11+C11+D11-E11+F11</f>
        <v>22446.050000000003</v>
      </c>
      <c r="H11" s="203">
        <f>'Budget vs Actual  '!C59</f>
        <v>23186.01</v>
      </c>
      <c r="I11" s="524">
        <f ca="1">SUM(H11-G11)/H11</f>
        <v>3.1914072322059533E-2</v>
      </c>
      <c r="J11" s="127"/>
      <c r="L11" s="126"/>
    </row>
    <row r="12" spans="1:12">
      <c r="A12" s="475" t="s">
        <v>274</v>
      </c>
      <c r="B12" s="476">
        <v>61.74</v>
      </c>
      <c r="C12" s="476">
        <v>0</v>
      </c>
      <c r="D12" s="476" t="s">
        <v>8</v>
      </c>
      <c r="E12" s="476"/>
      <c r="F12" s="476">
        <v>61.74</v>
      </c>
      <c r="G12" s="477">
        <f>B12-F12</f>
        <v>0</v>
      </c>
      <c r="H12" s="17"/>
      <c r="I12" s="23">
        <f ca="1">1-I11</f>
        <v>0.96808592767794044</v>
      </c>
      <c r="J12" s="128"/>
    </row>
    <row r="13" spans="1:12">
      <c r="A13" s="305" t="s">
        <v>275</v>
      </c>
      <c r="B13" s="325">
        <v>45</v>
      </c>
      <c r="C13" s="135">
        <v>0</v>
      </c>
      <c r="D13" s="135">
        <v>0</v>
      </c>
      <c r="E13" s="135">
        <f>'Payments Receipts Cash Book'!AG16</f>
        <v>24</v>
      </c>
      <c r="F13" s="135">
        <v>0</v>
      </c>
      <c r="G13" s="326">
        <f t="shared" si="0"/>
        <v>21</v>
      </c>
      <c r="H13" s="17"/>
      <c r="I13" s="260" t="s">
        <v>8</v>
      </c>
      <c r="J13" s="128"/>
    </row>
    <row r="14" spans="1:12">
      <c r="A14" s="305" t="s">
        <v>276</v>
      </c>
      <c r="B14" s="325">
        <v>500</v>
      </c>
      <c r="C14" s="135">
        <v>0</v>
      </c>
      <c r="D14" s="135">
        <v>0</v>
      </c>
      <c r="E14" s="135"/>
      <c r="F14" s="135">
        <v>0</v>
      </c>
      <c r="G14" s="326">
        <f t="shared" si="0"/>
        <v>500</v>
      </c>
      <c r="H14" s="17"/>
      <c r="I14" s="17" t="s">
        <v>8</v>
      </c>
      <c r="J14" s="128"/>
    </row>
    <row r="15" spans="1:12" s="33" customFormat="1">
      <c r="A15" s="305" t="s">
        <v>277</v>
      </c>
      <c r="B15" s="325">
        <v>2137.37</v>
      </c>
      <c r="C15" s="135">
        <v>200</v>
      </c>
      <c r="D15" s="135">
        <v>0</v>
      </c>
      <c r="E15" s="135">
        <f ca="1">'Payments Receipts Cash Book'!U53+'Payments Receipts Cash Book'!K48+'Payments Receipts Cash Book'!K27</f>
        <v>2243.38</v>
      </c>
      <c r="F15" s="135">
        <v>0</v>
      </c>
      <c r="G15" s="326">
        <f ca="1">B15+C15+D15-E15-F15</f>
        <v>93.989999999999782</v>
      </c>
      <c r="H15" s="17" t="s">
        <v>8</v>
      </c>
      <c r="I15" s="17"/>
      <c r="J15" s="132"/>
    </row>
    <row r="16" spans="1:12" s="33" customFormat="1">
      <c r="A16" s="305" t="s">
        <v>278</v>
      </c>
      <c r="B16" s="325">
        <v>566.9</v>
      </c>
      <c r="C16" s="135">
        <v>0</v>
      </c>
      <c r="D16" s="135">
        <v>44.84</v>
      </c>
      <c r="E16" s="135">
        <f>'Payments Receipts Cash Book'!AJ16+'Payments Receipts Cash Book'!AJ17</f>
        <v>611.74</v>
      </c>
      <c r="F16" s="135">
        <v>0</v>
      </c>
      <c r="G16" s="326">
        <f t="shared" si="0"/>
        <v>0</v>
      </c>
      <c r="H16" s="17"/>
      <c r="I16" s="17"/>
      <c r="J16" s="132"/>
    </row>
    <row r="17" spans="1:13" s="33" customFormat="1">
      <c r="A17" s="475" t="s">
        <v>279</v>
      </c>
      <c r="B17" s="476">
        <v>137.13</v>
      </c>
      <c r="C17" s="476">
        <v>0</v>
      </c>
      <c r="D17" s="476" t="s">
        <v>8</v>
      </c>
      <c r="E17" s="476"/>
      <c r="F17" s="476">
        <f>34.19+44.84+1.2+14</f>
        <v>94.23</v>
      </c>
      <c r="G17" s="477">
        <f>B17-E17-F17</f>
        <v>42.899999999999991</v>
      </c>
      <c r="H17" s="17"/>
      <c r="I17" s="17"/>
      <c r="J17" s="132"/>
    </row>
    <row r="18" spans="1:13" s="33" customFormat="1">
      <c r="A18" s="410" t="s">
        <v>349</v>
      </c>
      <c r="B18" s="411">
        <v>14590.23</v>
      </c>
      <c r="C18" s="135"/>
      <c r="D18" s="135"/>
      <c r="E18" s="135">
        <f>B18</f>
        <v>14590.23</v>
      </c>
      <c r="F18" s="135"/>
      <c r="G18" s="425">
        <f t="shared" si="0"/>
        <v>0</v>
      </c>
      <c r="H18" s="17"/>
      <c r="I18" s="17"/>
      <c r="J18" s="132"/>
    </row>
    <row r="19" spans="1:13">
      <c r="A19" s="410" t="s">
        <v>280</v>
      </c>
      <c r="B19" s="411">
        <f>24590.23-B18</f>
        <v>10000</v>
      </c>
      <c r="C19" s="135">
        <v>0</v>
      </c>
      <c r="D19" s="135">
        <v>0</v>
      </c>
      <c r="E19" s="135">
        <f>'Gudgeons Rec'!D17-Reserves!E6-Reserves!E18</f>
        <v>1560</v>
      </c>
      <c r="F19" s="135">
        <v>0</v>
      </c>
      <c r="G19" s="425">
        <f t="shared" si="0"/>
        <v>8440</v>
      </c>
      <c r="H19" s="138"/>
      <c r="I19" s="23"/>
      <c r="J19" s="126"/>
      <c r="K19" s="16"/>
      <c r="L19" s="126"/>
    </row>
    <row r="20" spans="1:13" ht="20" thickBot="1">
      <c r="A20"/>
      <c r="B20" s="328">
        <f t="shared" ref="B20:F20" si="1">SUM(B5:B19)</f>
        <v>49932.92</v>
      </c>
      <c r="C20" s="136">
        <f t="shared" si="1"/>
        <v>36345.300000000003</v>
      </c>
      <c r="D20" s="136">
        <f t="shared" si="1"/>
        <v>217.71</v>
      </c>
      <c r="E20" s="136">
        <f t="shared" ca="1" si="1"/>
        <v>34783.71</v>
      </c>
      <c r="F20" s="136">
        <f t="shared" si="1"/>
        <v>217.71</v>
      </c>
      <c r="G20" s="328">
        <f ca="1">SUM(G5:G19)</f>
        <v>51494.510000000009</v>
      </c>
      <c r="H20" s="301" t="b">
        <f ca="1">G20='Bank Rec'!D16</f>
        <v>1</v>
      </c>
      <c r="I20" s="203">
        <f ca="1">'Bank Rec'!D16</f>
        <v>51494.51</v>
      </c>
      <c r="J20" s="15"/>
      <c r="L20" s="126" t="s">
        <v>8</v>
      </c>
    </row>
    <row r="21" spans="1:13" ht="17" thickTop="1">
      <c r="B21" s="10" t="s">
        <v>8</v>
      </c>
      <c r="C21" s="9"/>
      <c r="D21" s="9"/>
      <c r="E21" s="9" t="s">
        <v>8</v>
      </c>
      <c r="F21" s="11" t="s">
        <v>8</v>
      </c>
      <c r="G21" s="9"/>
      <c r="H21" s="9"/>
      <c r="I21" s="126" t="s">
        <v>8</v>
      </c>
      <c r="J21" s="18"/>
      <c r="K21" s="18"/>
      <c r="L21" s="14" t="s">
        <v>8</v>
      </c>
    </row>
    <row r="22" spans="1:13">
      <c r="A22"/>
      <c r="I22" s="29"/>
      <c r="J22" s="126"/>
      <c r="K22" s="126"/>
      <c r="L22" s="126" t="s">
        <v>8</v>
      </c>
    </row>
    <row r="23" spans="1:13" ht="34">
      <c r="B23" s="329" t="s">
        <v>31</v>
      </c>
      <c r="C23" s="129" t="s">
        <v>259</v>
      </c>
      <c r="D23" s="114" t="s">
        <v>29</v>
      </c>
      <c r="E23" s="114" t="s">
        <v>283</v>
      </c>
      <c r="F23" s="129" t="s">
        <v>260</v>
      </c>
      <c r="G23" s="114" t="s">
        <v>34</v>
      </c>
      <c r="H23" s="331" t="s">
        <v>33</v>
      </c>
      <c r="I23" s="144" t="s">
        <v>8</v>
      </c>
      <c r="J23" s="130"/>
    </row>
    <row r="24" spans="1:13">
      <c r="A24" s="3" t="s">
        <v>282</v>
      </c>
      <c r="B24" s="330">
        <f>'Bank Rec'!D4</f>
        <v>49832.130000000005</v>
      </c>
      <c r="C24" s="137">
        <f>'Bank Rec'!C7</f>
        <v>36344.82</v>
      </c>
      <c r="D24" s="137" t="s">
        <v>8</v>
      </c>
      <c r="E24" s="137">
        <v>30000</v>
      </c>
      <c r="F24" s="137">
        <f ca="1">'Bank Rec'!C11-'Bank Rec'!C14</f>
        <v>34783.71</v>
      </c>
      <c r="G24" s="137">
        <v>0</v>
      </c>
      <c r="H24" s="332">
        <f ca="1">B24+C24-E24-F24</f>
        <v>21393.240000000013</v>
      </c>
      <c r="I24" s="409">
        <f>'Bank Rec'!I4</f>
        <v>21393.24</v>
      </c>
      <c r="J24" s="19"/>
      <c r="K24" s="131"/>
    </row>
    <row r="25" spans="1:13">
      <c r="A25" s="333" t="s">
        <v>350</v>
      </c>
      <c r="B25" s="330">
        <f>'Bank Rec'!D5</f>
        <v>100.79</v>
      </c>
      <c r="C25" s="137">
        <f>'Bank Rec'!C8+'Bank Rec'!C9</f>
        <v>0.48</v>
      </c>
      <c r="D25" s="137">
        <v>30000</v>
      </c>
      <c r="E25" s="137"/>
      <c r="F25" s="137">
        <v>0</v>
      </c>
      <c r="G25" s="137">
        <v>0</v>
      </c>
      <c r="H25" s="332">
        <f>B25+C25+D25-E25-F25</f>
        <v>30101.27</v>
      </c>
      <c r="I25" s="409">
        <f>'Bank Rec'!I5</f>
        <v>30101.27</v>
      </c>
      <c r="J25" s="19"/>
      <c r="K25" s="131"/>
    </row>
    <row r="26" spans="1:13" ht="17" thickBot="1">
      <c r="B26" s="519">
        <f>B25+B24</f>
        <v>49932.920000000006</v>
      </c>
      <c r="C26" s="137">
        <f t="shared" ref="C26:G26" si="2">C25+C24</f>
        <v>36345.300000000003</v>
      </c>
      <c r="D26" s="137">
        <f>D25</f>
        <v>30000</v>
      </c>
      <c r="E26" s="137">
        <f t="shared" si="2"/>
        <v>30000</v>
      </c>
      <c r="F26" s="137">
        <f t="shared" ca="1" si="2"/>
        <v>34783.71</v>
      </c>
      <c r="G26" s="518">
        <f t="shared" si="2"/>
        <v>0</v>
      </c>
      <c r="H26" s="520">
        <f ca="1">SUM(H24:H25)</f>
        <v>51494.510000000009</v>
      </c>
      <c r="I26" s="20"/>
      <c r="J26" s="20"/>
      <c r="K26" s="131"/>
    </row>
    <row r="27" spans="1:13" s="133" customFormat="1" ht="17" thickTop="1">
      <c r="B27" s="25"/>
      <c r="C27" s="21"/>
      <c r="D27" s="21"/>
      <c r="E27" s="21"/>
      <c r="F27" s="21"/>
      <c r="G27" s="21"/>
      <c r="H27" s="25"/>
      <c r="I27" s="21"/>
      <c r="J27" s="22"/>
      <c r="K27" s="22"/>
      <c r="L27" s="134"/>
      <c r="M27" s="134"/>
    </row>
    <row r="28" spans="1:13">
      <c r="E28" s="29">
        <f ca="1">E20-F26</f>
        <v>0</v>
      </c>
      <c r="H28" s="29" t="s">
        <v>8</v>
      </c>
    </row>
    <row r="34" spans="4:4">
      <c r="D34" s="14"/>
    </row>
    <row r="35" spans="4:4">
      <c r="D35" s="24"/>
    </row>
    <row r="39" spans="4:4">
      <c r="D39" s="27" t="s">
        <v>8</v>
      </c>
    </row>
  </sheetData>
  <sortState ref="A6:A19">
    <sortCondition ref="A5:A19"/>
  </sortState>
  <pageMargins left="0.7" right="0.7" top="0.75" bottom="0.75" header="0.3" footer="0.3"/>
  <pageSetup paperSize="9" scale="84" orientation="landscape" horizontalDpi="0" verticalDpi="0" copies="3"/>
  <ignoredErrors>
    <ignoredError sqref="G11 G17 G8 D2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110"/>
  <sheetViews>
    <sheetView zoomScale="132" zoomScaleNormal="132" zoomScalePageLayoutView="130" workbookViewId="0">
      <pane ySplit="3" topLeftCell="A4" activePane="bottomLeft" state="frozen"/>
      <selection pane="bottomLeft" activeCell="I63" sqref="A1:I63"/>
    </sheetView>
  </sheetViews>
  <sheetFormatPr baseColWidth="10" defaultColWidth="8.83203125" defaultRowHeight="18"/>
  <cols>
    <col min="1" max="1" width="45.6640625" style="1" customWidth="1"/>
    <col min="2" max="2" width="16.5" style="1" customWidth="1"/>
    <col min="3" max="3" width="17.33203125" style="1" customWidth="1"/>
    <col min="4" max="4" width="17.6640625" style="1" customWidth="1"/>
    <col min="5" max="5" width="17.5" style="1" hidden="1" customWidth="1"/>
    <col min="6" max="6" width="12" style="1" hidden="1" customWidth="1"/>
    <col min="7" max="7" width="51.1640625" style="1" hidden="1" customWidth="1"/>
    <col min="8" max="8" width="9.1640625" style="1" customWidth="1"/>
    <col min="9" max="9" width="15.6640625" style="1" customWidth="1"/>
    <col min="10" max="10" width="9.1640625" style="1" customWidth="1"/>
    <col min="11" max="11" width="11.5" style="1" bestFit="1" customWidth="1"/>
    <col min="12" max="12" width="11.6640625" style="1" bestFit="1" customWidth="1"/>
    <col min="13" max="13" width="2.33203125" style="1" hidden="1" customWidth="1"/>
    <col min="14" max="14" width="11.6640625" style="1" bestFit="1" customWidth="1"/>
    <col min="15" max="15" width="12.1640625" style="1" bestFit="1" customWidth="1"/>
    <col min="16" max="16" width="12.1640625" style="1" customWidth="1"/>
    <col min="17" max="17" width="13.33203125" style="1" bestFit="1" customWidth="1"/>
    <col min="18" max="18" width="12.33203125" style="1" customWidth="1"/>
    <col min="19" max="19" width="13.5" style="1" customWidth="1"/>
    <col min="20" max="20" width="0.1640625" style="1" customWidth="1"/>
    <col min="21" max="21" width="3" style="2" customWidth="1"/>
    <col min="22" max="22" width="11" style="1" bestFit="1" customWidth="1"/>
    <col min="23" max="23" width="25.33203125" style="1" bestFit="1" customWidth="1"/>
    <col min="24" max="24" width="11.33203125" style="1" bestFit="1" customWidth="1"/>
    <col min="25" max="16384" width="8.83203125" style="1"/>
  </cols>
  <sheetData>
    <row r="1" spans="1:26" s="4" customFormat="1" ht="19">
      <c r="A1" s="321" t="s">
        <v>264</v>
      </c>
      <c r="B1" s="322"/>
      <c r="C1" s="322"/>
      <c r="D1" s="323"/>
      <c r="E1" s="190"/>
      <c r="F1" s="191"/>
      <c r="G1" s="5"/>
      <c r="H1" s="5"/>
      <c r="I1" s="5"/>
      <c r="J1" s="5"/>
      <c r="K1" s="5"/>
      <c r="S1" s="7"/>
      <c r="T1" s="7"/>
    </row>
    <row r="2" spans="1:26" s="4" customFormat="1" ht="19">
      <c r="A2" s="51" t="s">
        <v>8</v>
      </c>
      <c r="B2" s="5"/>
      <c r="C2" s="5"/>
      <c r="D2" s="5"/>
      <c r="E2" s="5"/>
      <c r="F2" s="5"/>
      <c r="G2" s="5"/>
      <c r="H2" s="5"/>
      <c r="I2" s="5"/>
      <c r="J2" s="5"/>
      <c r="K2" s="5"/>
      <c r="S2" s="7"/>
      <c r="T2" s="7"/>
    </row>
    <row r="3" spans="1:26" s="44" customFormat="1" ht="60" customHeight="1">
      <c r="A3" s="45" t="s">
        <v>11</v>
      </c>
      <c r="B3" s="146" t="s">
        <v>222</v>
      </c>
      <c r="C3" s="106" t="s">
        <v>296</v>
      </c>
      <c r="D3" s="146" t="s">
        <v>223</v>
      </c>
      <c r="E3" s="49" t="s">
        <v>132</v>
      </c>
      <c r="F3" s="145" t="s">
        <v>76</v>
      </c>
      <c r="G3" s="45" t="s">
        <v>24</v>
      </c>
      <c r="H3" s="45"/>
      <c r="I3" s="49" t="s">
        <v>414</v>
      </c>
      <c r="J3" s="45"/>
      <c r="K3" s="49" t="s">
        <v>67</v>
      </c>
      <c r="L3" s="49" t="s">
        <v>55</v>
      </c>
      <c r="M3" s="49" t="s">
        <v>63</v>
      </c>
      <c r="N3" s="49" t="s">
        <v>49</v>
      </c>
      <c r="S3" s="56"/>
      <c r="X3" s="44" t="s">
        <v>8</v>
      </c>
      <c r="Z3" s="44" t="s">
        <v>8</v>
      </c>
    </row>
    <row r="4" spans="1:26" s="44" customFormat="1" ht="16">
      <c r="A4" s="46" t="str">
        <f>'Payments Receipts Cash Book'!M15</f>
        <v>Asset replacement</v>
      </c>
      <c r="B4" s="421">
        <f ca="1">'Payments Receipts Cash Book'!M53</f>
        <v>68.33</v>
      </c>
      <c r="C4" s="104">
        <v>3000</v>
      </c>
      <c r="D4" s="115">
        <f ca="1">C4-B4</f>
        <v>2931.67</v>
      </c>
      <c r="E4" s="75">
        <v>3000</v>
      </c>
      <c r="F4" s="141">
        <v>3000</v>
      </c>
      <c r="G4" s="151" t="s">
        <v>107</v>
      </c>
      <c r="H4" s="46"/>
      <c r="I4" s="75">
        <f ca="1">D4</f>
        <v>2931.67</v>
      </c>
      <c r="J4" s="46"/>
      <c r="K4" s="186">
        <v>1380.36</v>
      </c>
      <c r="L4" s="186">
        <v>781.67</v>
      </c>
      <c r="M4" s="82">
        <f>-92.5+-7.44</f>
        <v>-99.94</v>
      </c>
      <c r="N4" s="187">
        <v>0</v>
      </c>
      <c r="R4" s="56"/>
      <c r="S4" s="58"/>
      <c r="T4" s="56"/>
      <c r="U4" s="52"/>
      <c r="V4" s="44" t="s">
        <v>8</v>
      </c>
      <c r="X4" s="44" t="s">
        <v>8</v>
      </c>
      <c r="Z4" s="44" t="s">
        <v>8</v>
      </c>
    </row>
    <row r="5" spans="1:26" s="44" customFormat="1" ht="16">
      <c r="A5" s="46" t="str">
        <f>'Payments Receipts Cash Book'!N15</f>
        <v>Audit</v>
      </c>
      <c r="B5" s="423">
        <f ca="1">'Payments Receipts Cash Book'!N53</f>
        <v>462.31</v>
      </c>
      <c r="C5" s="362">
        <f>550-391.45+346.25</f>
        <v>504.8</v>
      </c>
      <c r="D5" s="363">
        <f t="shared" ref="D5:D34" ca="1" si="0">C5-B5</f>
        <v>42.490000000000009</v>
      </c>
      <c r="E5" s="75">
        <f ca="1">B5+240</f>
        <v>702.31</v>
      </c>
      <c r="F5" s="141">
        <f>240+SUM(158.55*111%)</f>
        <v>415.9905</v>
      </c>
      <c r="G5" s="151" t="s">
        <v>106</v>
      </c>
      <c r="H5" s="75"/>
      <c r="I5" s="75">
        <f ca="1">D5</f>
        <v>42.490000000000009</v>
      </c>
      <c r="J5" s="75"/>
      <c r="K5" s="186">
        <v>158.55000000000001</v>
      </c>
      <c r="L5" s="186">
        <v>444</v>
      </c>
      <c r="M5" s="82"/>
      <c r="N5" s="186">
        <v>435</v>
      </c>
      <c r="R5" s="56"/>
      <c r="S5" s="58"/>
      <c r="U5" s="52"/>
      <c r="V5" s="44" t="s">
        <v>8</v>
      </c>
      <c r="X5" s="44" t="s">
        <v>8</v>
      </c>
      <c r="Z5" s="44" t="s">
        <v>21</v>
      </c>
    </row>
    <row r="6" spans="1:26" s="44" customFormat="1" ht="16">
      <c r="A6" s="395" t="s">
        <v>352</v>
      </c>
      <c r="B6" s="423">
        <f ca="1">'Payments Receipts Cash Book'!Y53</f>
        <v>80</v>
      </c>
      <c r="C6" s="362">
        <v>0</v>
      </c>
      <c r="D6" s="363">
        <f t="shared" ca="1" si="0"/>
        <v>-80</v>
      </c>
      <c r="E6" s="75"/>
      <c r="F6" s="141"/>
      <c r="G6" s="151"/>
      <c r="H6" s="75"/>
      <c r="I6" s="75">
        <f ca="1">D6</f>
        <v>-80</v>
      </c>
      <c r="J6" s="75"/>
      <c r="K6" s="186"/>
      <c r="L6" s="186"/>
      <c r="M6" s="82"/>
      <c r="N6" s="186"/>
      <c r="R6" s="56"/>
      <c r="S6" s="58"/>
      <c r="U6" s="52"/>
    </row>
    <row r="7" spans="1:26" s="44" customFormat="1" ht="16">
      <c r="A7" s="46" t="str">
        <f>'Payments Receipts Cash Book'!P15</f>
        <v>Bins</v>
      </c>
      <c r="B7" s="423">
        <f ca="1">'Payments Receipts Cash Book'!P53</f>
        <v>577.69000000000005</v>
      </c>
      <c r="C7" s="104">
        <v>539.92999999999995</v>
      </c>
      <c r="D7" s="115">
        <f t="shared" ca="1" si="0"/>
        <v>-37.760000000000105</v>
      </c>
      <c r="E7" s="75">
        <f ca="1">B7</f>
        <v>577.69000000000005</v>
      </c>
      <c r="F7" s="141">
        <f ca="1">B7*112%+0.24</f>
        <v>647.25280000000009</v>
      </c>
      <c r="G7" s="151" t="s">
        <v>126</v>
      </c>
      <c r="H7" s="75"/>
      <c r="I7" s="75">
        <f ca="1">D7</f>
        <v>-37.760000000000105</v>
      </c>
      <c r="J7" s="75"/>
      <c r="K7" s="186">
        <v>539.92999999999995</v>
      </c>
      <c r="L7" s="186">
        <v>539.92999999999995</v>
      </c>
      <c r="M7" s="82"/>
      <c r="N7" s="186">
        <v>524.27</v>
      </c>
      <c r="R7" s="56"/>
      <c r="U7" s="52"/>
      <c r="V7" s="44" t="s">
        <v>8</v>
      </c>
      <c r="X7" s="44" t="s">
        <v>8</v>
      </c>
      <c r="Z7" s="44" t="s">
        <v>8</v>
      </c>
    </row>
    <row r="8" spans="1:26" s="44" customFormat="1" ht="16">
      <c r="A8" s="46" t="str">
        <f>'Payments Receipts Cash Book'!Q15</f>
        <v>BVN</v>
      </c>
      <c r="B8" s="423">
        <f ca="1">'Payments Receipts Cash Book'!Q53</f>
        <v>1014</v>
      </c>
      <c r="C8" s="278">
        <f>1000-310+138+431</f>
        <v>1259</v>
      </c>
      <c r="D8" s="279">
        <f t="shared" ca="1" si="0"/>
        <v>245</v>
      </c>
      <c r="E8" s="75">
        <f>232*6</f>
        <v>1392</v>
      </c>
      <c r="F8" s="141">
        <f>138*6</f>
        <v>828</v>
      </c>
      <c r="G8" s="151" t="s">
        <v>105</v>
      </c>
      <c r="H8" s="46"/>
      <c r="I8" s="75">
        <f ca="1">SUM(-275*6)+B8</f>
        <v>-636</v>
      </c>
      <c r="J8" s="46"/>
      <c r="K8" s="186">
        <v>1027</v>
      </c>
      <c r="L8" s="186">
        <v>507</v>
      </c>
      <c r="M8" s="82"/>
      <c r="N8" s="187">
        <v>1128</v>
      </c>
      <c r="R8" s="56"/>
      <c r="S8" s="44" t="s">
        <v>52</v>
      </c>
      <c r="U8" s="52"/>
    </row>
    <row r="9" spans="1:26" s="44" customFormat="1" ht="16">
      <c r="A9" s="46" t="str">
        <f>'Payments Receipts Cash Book'!R15</f>
        <v>CSW</v>
      </c>
      <c r="B9" s="423">
        <f ca="1">'Payments Receipts Cash Book'!R53</f>
        <v>332.5</v>
      </c>
      <c r="C9" s="278">
        <v>600</v>
      </c>
      <c r="D9" s="279">
        <f t="shared" ca="1" si="0"/>
        <v>267.5</v>
      </c>
      <c r="E9" s="75">
        <f>C9</f>
        <v>600</v>
      </c>
      <c r="F9" s="141">
        <v>1000</v>
      </c>
      <c r="G9" s="151" t="s">
        <v>118</v>
      </c>
      <c r="H9" s="46"/>
      <c r="I9" s="75">
        <f ca="1">D9</f>
        <v>267.5</v>
      </c>
      <c r="J9" s="46"/>
      <c r="K9" s="186">
        <v>16.8</v>
      </c>
      <c r="L9" s="186">
        <v>0</v>
      </c>
      <c r="M9" s="82">
        <v>100</v>
      </c>
      <c r="N9" s="187">
        <v>0</v>
      </c>
      <c r="R9" s="56"/>
      <c r="U9" s="52"/>
      <c r="V9" s="44" t="s">
        <v>21</v>
      </c>
      <c r="X9" s="44" t="s">
        <v>8</v>
      </c>
      <c r="Z9" s="44" t="s">
        <v>8</v>
      </c>
    </row>
    <row r="10" spans="1:26" s="44" customFormat="1" ht="16">
      <c r="A10" s="46" t="str">
        <f>'Payments Receipts Cash Book'!S15</f>
        <v xml:space="preserve">Data Protection </v>
      </c>
      <c r="B10" s="421">
        <f ca="1">'Payments Receipts Cash Book'!S53</f>
        <v>35</v>
      </c>
      <c r="C10" s="278">
        <f>40-5</f>
        <v>35</v>
      </c>
      <c r="D10" s="279">
        <f t="shared" ca="1" si="0"/>
        <v>0</v>
      </c>
      <c r="E10" s="75">
        <v>35</v>
      </c>
      <c r="F10" s="141">
        <f>35*111%</f>
        <v>38.85</v>
      </c>
      <c r="G10" s="148" t="s">
        <v>77</v>
      </c>
      <c r="H10" s="75"/>
      <c r="I10" s="75">
        <v>0</v>
      </c>
      <c r="J10" s="75"/>
      <c r="K10" s="186">
        <v>35</v>
      </c>
      <c r="L10" s="186">
        <v>40</v>
      </c>
      <c r="M10" s="82">
        <v>3.66</v>
      </c>
      <c r="N10" s="187">
        <v>40</v>
      </c>
      <c r="R10" s="56"/>
      <c r="U10" s="52"/>
      <c r="V10" s="44" t="s">
        <v>8</v>
      </c>
      <c r="X10" s="44" t="s">
        <v>8</v>
      </c>
      <c r="Z10" s="44" t="s">
        <v>8</v>
      </c>
    </row>
    <row r="11" spans="1:26" s="44" customFormat="1" ht="16">
      <c r="A11" s="151" t="s">
        <v>85</v>
      </c>
      <c r="B11" s="421">
        <f ca="1">'Payments Receipts Cash Book'!T53</f>
        <v>96</v>
      </c>
      <c r="C11" s="278">
        <v>100</v>
      </c>
      <c r="D11" s="279">
        <f t="shared" ca="1" si="0"/>
        <v>4</v>
      </c>
      <c r="E11" s="75">
        <f>C11</f>
        <v>100</v>
      </c>
      <c r="F11" s="141">
        <v>750</v>
      </c>
      <c r="G11" s="151" t="s">
        <v>107</v>
      </c>
      <c r="H11" s="46"/>
      <c r="I11" s="75">
        <f ca="1">D11</f>
        <v>4</v>
      </c>
      <c r="J11" s="46"/>
      <c r="K11" s="186">
        <v>0</v>
      </c>
      <c r="L11" s="186">
        <v>0</v>
      </c>
      <c r="M11" s="82"/>
      <c r="N11" s="187">
        <v>286</v>
      </c>
      <c r="R11" s="56"/>
      <c r="U11" s="52"/>
      <c r="V11" s="44" t="s">
        <v>8</v>
      </c>
      <c r="X11" s="44" t="s">
        <v>8</v>
      </c>
      <c r="Z11" s="44" t="s">
        <v>8</v>
      </c>
    </row>
    <row r="12" spans="1:26" s="44" customFormat="1" ht="16">
      <c r="A12" s="354" t="s">
        <v>312</v>
      </c>
      <c r="B12" s="423">
        <f ca="1">'Payments Receipts Cash Book'!O53</f>
        <v>213.75</v>
      </c>
      <c r="C12" s="362">
        <v>213.75</v>
      </c>
      <c r="D12" s="363">
        <f t="shared" ca="1" si="0"/>
        <v>0</v>
      </c>
      <c r="E12" s="75">
        <v>213.75</v>
      </c>
      <c r="F12" s="141"/>
      <c r="G12" s="151"/>
      <c r="H12" s="75"/>
      <c r="I12" s="75">
        <v>0</v>
      </c>
      <c r="J12" s="75"/>
      <c r="K12" s="186"/>
      <c r="L12" s="186"/>
      <c r="M12" s="82"/>
      <c r="N12" s="187"/>
      <c r="R12" s="56"/>
      <c r="U12" s="52"/>
    </row>
    <row r="13" spans="1:26" s="199" customFormat="1" ht="16">
      <c r="A13" s="262" t="str">
        <f>'Payments Receipts Cash Book'!U15</f>
        <v>Pond</v>
      </c>
      <c r="B13" s="423">
        <f ca="1">'Payments Receipts Cash Book'!U53</f>
        <v>2034.2</v>
      </c>
      <c r="C13" s="278">
        <v>3000</v>
      </c>
      <c r="D13" s="279">
        <f t="shared" ca="1" si="0"/>
        <v>965.8</v>
      </c>
      <c r="E13" s="195">
        <v>3000</v>
      </c>
      <c r="F13" s="196">
        <v>2000</v>
      </c>
      <c r="G13" s="194" t="s">
        <v>107</v>
      </c>
      <c r="H13" s="194"/>
      <c r="I13" s="195">
        <f ca="1">D13</f>
        <v>965.8</v>
      </c>
      <c r="J13" s="194"/>
      <c r="K13" s="186">
        <v>3812.63</v>
      </c>
      <c r="L13" s="197">
        <v>3000</v>
      </c>
      <c r="M13" s="82"/>
      <c r="N13" s="198">
        <v>0</v>
      </c>
      <c r="R13" s="200"/>
      <c r="U13" s="201"/>
      <c r="V13" s="199" t="s">
        <v>8</v>
      </c>
      <c r="X13" s="199" t="s">
        <v>8</v>
      </c>
      <c r="Z13" s="199" t="s">
        <v>8</v>
      </c>
    </row>
    <row r="14" spans="1:26" s="44" customFormat="1" ht="16">
      <c r="A14" s="262" t="str">
        <f>'Payments Receipts Cash Book'!AC15</f>
        <v>Jubilee/Coronation</v>
      </c>
      <c r="B14" s="423">
        <f ca="1">'Payments Receipts Cash Book'!AC53</f>
        <v>201.25</v>
      </c>
      <c r="C14" s="278">
        <v>1000</v>
      </c>
      <c r="D14" s="279">
        <f t="shared" ca="1" si="0"/>
        <v>798.75</v>
      </c>
      <c r="E14" s="75">
        <v>1000</v>
      </c>
      <c r="F14" s="141">
        <v>250</v>
      </c>
      <c r="G14" s="151" t="s">
        <v>48</v>
      </c>
      <c r="H14" s="46"/>
      <c r="I14" s="75">
        <f ca="1">D14</f>
        <v>798.75</v>
      </c>
      <c r="J14" s="46"/>
      <c r="K14" s="186">
        <v>938.26</v>
      </c>
      <c r="L14" s="186">
        <v>61</v>
      </c>
      <c r="M14" s="82"/>
      <c r="N14" s="187">
        <v>797</v>
      </c>
      <c r="R14" s="56"/>
      <c r="U14" s="52"/>
    </row>
    <row r="15" spans="1:26" s="44" customFormat="1" ht="16">
      <c r="A15" s="262" t="str">
        <f>'Payments Receipts Cash Book'!V15</f>
        <v>Election</v>
      </c>
      <c r="B15" s="421">
        <f ca="1">'Payments Receipts Cash Book'!V53</f>
        <v>144.71</v>
      </c>
      <c r="C15" s="278">
        <v>150</v>
      </c>
      <c r="D15" s="279">
        <f t="shared" ca="1" si="0"/>
        <v>5.289999999999992</v>
      </c>
      <c r="E15" s="75">
        <v>0</v>
      </c>
      <c r="F15" s="141">
        <f>1000/4-37.5</f>
        <v>212.5</v>
      </c>
      <c r="G15" s="151" t="s">
        <v>108</v>
      </c>
      <c r="H15" s="46"/>
      <c r="I15" s="75">
        <f ca="1">D15</f>
        <v>5.289999999999992</v>
      </c>
      <c r="J15" s="46"/>
      <c r="K15" s="186">
        <v>0</v>
      </c>
      <c r="L15" s="186">
        <v>0</v>
      </c>
      <c r="M15" s="82"/>
      <c r="N15" s="187">
        <v>0</v>
      </c>
      <c r="R15" s="56"/>
      <c r="U15" s="52"/>
    </row>
    <row r="16" spans="1:26" s="59" customFormat="1" ht="18" customHeight="1">
      <c r="A16" s="262" t="str">
        <f>'Payments Receipts Cash Book'!W15</f>
        <v>Geese</v>
      </c>
      <c r="B16" s="423">
        <f ca="1">'Payments Receipts Cash Book'!W53</f>
        <v>229.98999999999992</v>
      </c>
      <c r="C16" s="104">
        <f>750-66.95</f>
        <v>683.05</v>
      </c>
      <c r="D16" s="115">
        <f t="shared" ca="1" si="0"/>
        <v>453.06000000000006</v>
      </c>
      <c r="E16" s="75">
        <f>C16</f>
        <v>683.05</v>
      </c>
      <c r="F16" s="141">
        <v>750</v>
      </c>
      <c r="G16" s="192" t="s">
        <v>135</v>
      </c>
      <c r="H16" s="46"/>
      <c r="I16" s="75">
        <v>0</v>
      </c>
      <c r="J16" s="46"/>
      <c r="K16" s="186">
        <v>458.29</v>
      </c>
      <c r="L16" s="186">
        <v>292.32</v>
      </c>
      <c r="M16" s="82"/>
      <c r="N16" s="187">
        <v>264.07</v>
      </c>
      <c r="R16" s="56"/>
      <c r="T16" s="44"/>
      <c r="U16" s="60"/>
      <c r="V16" s="59" t="s">
        <v>8</v>
      </c>
      <c r="X16" s="59" t="s">
        <v>8</v>
      </c>
      <c r="Z16" s="59" t="s">
        <v>21</v>
      </c>
    </row>
    <row r="17" spans="1:26" s="59" customFormat="1" ht="18" customHeight="1">
      <c r="A17" s="262" t="str">
        <f>'Payments Receipts Cash Book'!X15</f>
        <v>Green Maintenance</v>
      </c>
      <c r="B17" s="423">
        <f ca="1">'Payments Receipts Cash Book'!X53</f>
        <v>1080</v>
      </c>
      <c r="C17" s="104">
        <v>2500</v>
      </c>
      <c r="D17" s="115">
        <f t="shared" ca="1" si="0"/>
        <v>1420</v>
      </c>
      <c r="E17" s="368">
        <f>C17</f>
        <v>2500</v>
      </c>
      <c r="F17" s="141">
        <v>2750</v>
      </c>
      <c r="G17" s="151" t="s">
        <v>109</v>
      </c>
      <c r="H17" s="46"/>
      <c r="I17" s="75">
        <f>2500-1080/3*8</f>
        <v>-380</v>
      </c>
      <c r="J17" s="46"/>
      <c r="K17" s="186">
        <v>1879</v>
      </c>
      <c r="L17" s="186">
        <v>1998</v>
      </c>
      <c r="M17" s="82"/>
      <c r="N17" s="187">
        <v>2943</v>
      </c>
      <c r="R17" s="56"/>
      <c r="T17" s="44"/>
      <c r="U17" s="60"/>
    </row>
    <row r="18" spans="1:26" s="59" customFormat="1" ht="18" customHeight="1">
      <c r="A18" s="262" t="str">
        <f>'Payments Receipts Cash Book'!Z15</f>
        <v>Hire of Vestry</v>
      </c>
      <c r="B18" s="423">
        <f ca="1">'Payments Receipts Cash Book'!Z53</f>
        <v>49.5</v>
      </c>
      <c r="C18" s="104">
        <f>208-10.9</f>
        <v>197.1</v>
      </c>
      <c r="D18" s="115">
        <f t="shared" ca="1" si="0"/>
        <v>147.6</v>
      </c>
      <c r="E18" s="75">
        <f>C18</f>
        <v>197.1</v>
      </c>
      <c r="F18" s="141">
        <v>250</v>
      </c>
      <c r="G18" s="151" t="s">
        <v>123</v>
      </c>
      <c r="H18" s="46"/>
      <c r="I18" s="75">
        <v>0</v>
      </c>
      <c r="J18" s="46"/>
      <c r="K18" s="186">
        <v>165</v>
      </c>
      <c r="L18" s="186">
        <v>99.96</v>
      </c>
      <c r="M18" s="82">
        <v>-50</v>
      </c>
      <c r="N18" s="187">
        <v>10</v>
      </c>
      <c r="R18" s="56"/>
      <c r="T18" s="44"/>
      <c r="U18" s="60"/>
      <c r="V18" s="59" t="s">
        <v>8</v>
      </c>
      <c r="X18" s="59" t="s">
        <v>8</v>
      </c>
      <c r="Z18" s="59" t="s">
        <v>8</v>
      </c>
    </row>
    <row r="19" spans="1:26" s="59" customFormat="1" ht="18" customHeight="1">
      <c r="A19" s="262" t="str">
        <f>'Payments Receipts Cash Book'!AB15</f>
        <v>Insurance</v>
      </c>
      <c r="B19" s="423">
        <f ca="1">'Payments Receipts Cash Book'!AB53</f>
        <v>637.14</v>
      </c>
      <c r="C19" s="104">
        <f>421.31+151.12+54.71</f>
        <v>627.1400000000001</v>
      </c>
      <c r="D19" s="115">
        <f t="shared" ca="1" si="0"/>
        <v>-9.9999999999998863</v>
      </c>
      <c r="E19" s="75">
        <f ca="1">B19</f>
        <v>637.14</v>
      </c>
      <c r="F19" s="141">
        <f ca="1">B19*111%</f>
        <v>707.22540000000004</v>
      </c>
      <c r="G19" s="148" t="s">
        <v>78</v>
      </c>
      <c r="H19" s="75"/>
      <c r="I19" s="75">
        <v>-10</v>
      </c>
      <c r="J19" s="75"/>
      <c r="K19" s="186">
        <v>572.42999999999995</v>
      </c>
      <c r="L19" s="186">
        <v>401.25</v>
      </c>
      <c r="M19" s="82"/>
      <c r="N19" s="187">
        <v>997.82</v>
      </c>
      <c r="R19" s="56"/>
      <c r="T19" s="44"/>
      <c r="U19" s="60"/>
      <c r="V19" s="59" t="s">
        <v>8</v>
      </c>
      <c r="X19" s="59" t="s">
        <v>8</v>
      </c>
      <c r="Z19" s="59" t="s">
        <v>8</v>
      </c>
    </row>
    <row r="20" spans="1:26" s="44" customFormat="1" ht="16">
      <c r="A20" s="262" t="str">
        <f>'Payments Receipts Cash Book'!AA15</f>
        <v>Wesbite</v>
      </c>
      <c r="B20" s="423">
        <f ca="1">'Payments Receipts Cash Book'!AA53</f>
        <v>120</v>
      </c>
      <c r="C20" s="104">
        <v>155</v>
      </c>
      <c r="D20" s="115">
        <f t="shared" ca="1" si="0"/>
        <v>35</v>
      </c>
      <c r="E20" s="75">
        <f ca="1">B20</f>
        <v>120</v>
      </c>
      <c r="F20" s="141">
        <f>120*111%</f>
        <v>133.20000000000002</v>
      </c>
      <c r="G20" s="151" t="s">
        <v>78</v>
      </c>
      <c r="H20" s="75"/>
      <c r="I20" s="75">
        <v>35</v>
      </c>
      <c r="J20" s="75"/>
      <c r="K20" s="186">
        <v>120</v>
      </c>
      <c r="L20" s="186">
        <v>186</v>
      </c>
      <c r="M20" s="82">
        <v>-78.5</v>
      </c>
      <c r="N20" s="187">
        <v>100</v>
      </c>
      <c r="R20" s="56"/>
      <c r="T20" s="59"/>
      <c r="U20" s="52"/>
      <c r="V20" s="44" t="s">
        <v>8</v>
      </c>
      <c r="X20" s="44" t="s">
        <v>8</v>
      </c>
      <c r="Z20" s="44" t="s">
        <v>8</v>
      </c>
    </row>
    <row r="21" spans="1:26" s="44" customFormat="1" ht="16">
      <c r="A21" s="262" t="str">
        <f>'Payments Receipts Cash Book'!AD15</f>
        <v>Litter Pick</v>
      </c>
      <c r="B21" s="423">
        <f ca="1">'Payments Receipts Cash Book'!AD53</f>
        <v>135.12</v>
      </c>
      <c r="C21" s="104">
        <v>250</v>
      </c>
      <c r="D21" s="115">
        <f t="shared" ca="1" si="0"/>
        <v>114.88</v>
      </c>
      <c r="E21" s="75">
        <f ca="1">B21*2</f>
        <v>270.24</v>
      </c>
      <c r="F21" s="141">
        <v>255</v>
      </c>
      <c r="G21" s="151" t="s">
        <v>110</v>
      </c>
      <c r="H21" s="46"/>
      <c r="I21" s="75">
        <v>0</v>
      </c>
      <c r="J21" s="46"/>
      <c r="K21" s="186">
        <v>121.9</v>
      </c>
      <c r="L21" s="186">
        <v>248.73</v>
      </c>
      <c r="M21" s="82">
        <v>5</v>
      </c>
      <c r="N21" s="187">
        <v>447.91</v>
      </c>
      <c r="R21" s="56"/>
      <c r="U21" s="52"/>
      <c r="V21" s="44" t="s">
        <v>8</v>
      </c>
      <c r="X21" s="44" t="s">
        <v>8</v>
      </c>
      <c r="Z21" s="44" t="s">
        <v>8</v>
      </c>
    </row>
    <row r="22" spans="1:26" s="44" customFormat="1" ht="16">
      <c r="A22" s="262" t="str">
        <f>'Payments Receipts Cash Book'!AE15</f>
        <v>Mileage</v>
      </c>
      <c r="B22" s="423">
        <f ca="1">'Payments Receipts Cash Book'!AE53</f>
        <v>44.550000000000004</v>
      </c>
      <c r="C22" s="278">
        <f>1.78+15+77.03-54.71</f>
        <v>39.1</v>
      </c>
      <c r="D22" s="279">
        <f t="shared" ca="1" si="0"/>
        <v>-5.4500000000000028</v>
      </c>
      <c r="E22" s="75">
        <f ca="1">B22*2.5</f>
        <v>111.37500000000001</v>
      </c>
      <c r="F22" s="141">
        <f>SUM(9.3*2)*6</f>
        <v>111.60000000000001</v>
      </c>
      <c r="G22" s="151" t="s">
        <v>111</v>
      </c>
      <c r="H22" s="46"/>
      <c r="I22" s="75">
        <f>-SUM(8.1*6)-5.45</f>
        <v>-54.05</v>
      </c>
      <c r="J22" s="46"/>
      <c r="K22" s="186">
        <v>16.78</v>
      </c>
      <c r="L22" s="186">
        <v>87.03</v>
      </c>
      <c r="M22" s="82"/>
      <c r="N22" s="187">
        <v>40.5</v>
      </c>
      <c r="R22" s="56"/>
      <c r="U22" s="52"/>
      <c r="V22" s="44" t="s">
        <v>21</v>
      </c>
      <c r="X22" s="44" t="s">
        <v>8</v>
      </c>
      <c r="Z22" s="44" t="s">
        <v>8</v>
      </c>
    </row>
    <row r="23" spans="1:26" s="44" customFormat="1" ht="16">
      <c r="A23" s="354" t="str">
        <f>'Payments Receipts Cash Book'!AF15</f>
        <v>Misc</v>
      </c>
      <c r="B23" s="423">
        <f ca="1">'Payments Receipts Cash Book'!AF53</f>
        <v>22</v>
      </c>
      <c r="C23" s="362">
        <f>469.28+90.72-213.75-346.25</f>
        <v>0</v>
      </c>
      <c r="D23" s="363">
        <f t="shared" ca="1" si="0"/>
        <v>-22</v>
      </c>
      <c r="E23" s="75">
        <f ca="1">B23</f>
        <v>22</v>
      </c>
      <c r="F23" s="141">
        <v>520</v>
      </c>
      <c r="G23" s="192" t="s">
        <v>136</v>
      </c>
      <c r="H23" s="46"/>
      <c r="I23" s="75">
        <f>SUM(-22)+-84</f>
        <v>-106</v>
      </c>
      <c r="J23" s="46"/>
      <c r="K23" s="186">
        <v>810</v>
      </c>
      <c r="L23" s="186">
        <v>613.34</v>
      </c>
      <c r="M23" s="82"/>
      <c r="N23" s="187">
        <v>0</v>
      </c>
      <c r="R23" s="56"/>
      <c r="U23" s="52"/>
      <c r="V23" s="44" t="s">
        <v>8</v>
      </c>
      <c r="X23" s="44" t="s">
        <v>21</v>
      </c>
      <c r="Z23" s="44" t="s">
        <v>8</v>
      </c>
    </row>
    <row r="24" spans="1:26" s="44" customFormat="1" ht="16">
      <c r="A24" s="262" t="s">
        <v>100</v>
      </c>
      <c r="B24" s="421">
        <v>0</v>
      </c>
      <c r="C24" s="278">
        <v>0</v>
      </c>
      <c r="D24" s="279">
        <f t="shared" si="0"/>
        <v>0</v>
      </c>
      <c r="E24" s="75">
        <v>0</v>
      </c>
      <c r="F24" s="141">
        <v>0</v>
      </c>
      <c r="G24" s="151"/>
      <c r="H24" s="46"/>
      <c r="I24" s="75">
        <v>0</v>
      </c>
      <c r="J24" s="46"/>
      <c r="K24" s="186">
        <v>0</v>
      </c>
      <c r="L24" s="186">
        <v>2042.99</v>
      </c>
      <c r="M24" s="82"/>
      <c r="N24" s="187">
        <v>3820.01</v>
      </c>
      <c r="R24" s="56"/>
      <c r="U24" s="52"/>
    </row>
    <row r="25" spans="1:26" s="44" customFormat="1" ht="16">
      <c r="A25" s="262" t="str">
        <f>'Payments Receipts Cash Book'!AG15</f>
        <v>Office</v>
      </c>
      <c r="B25" s="423">
        <f ca="1">'Payments Receipts Cash Book'!AG53</f>
        <v>186</v>
      </c>
      <c r="C25" s="278">
        <f>78.121+312</f>
        <v>390.12099999999998</v>
      </c>
      <c r="D25" s="279">
        <f t="shared" ca="1" si="0"/>
        <v>204.12099999999998</v>
      </c>
      <c r="E25" s="75">
        <f>6*52</f>
        <v>312</v>
      </c>
      <c r="F25" s="141">
        <f>6*52</f>
        <v>312</v>
      </c>
      <c r="G25" s="151" t="s">
        <v>112</v>
      </c>
      <c r="H25" s="46"/>
      <c r="I25" s="75">
        <f>0</f>
        <v>0</v>
      </c>
      <c r="J25" s="46"/>
      <c r="K25" s="186">
        <v>375.12</v>
      </c>
      <c r="L25" s="186">
        <v>305</v>
      </c>
      <c r="M25" s="82"/>
      <c r="N25" s="187">
        <v>216</v>
      </c>
      <c r="R25" s="56"/>
      <c r="T25" s="51"/>
      <c r="U25" s="52"/>
      <c r="V25" s="44" t="s">
        <v>8</v>
      </c>
      <c r="X25" s="44" t="s">
        <v>8</v>
      </c>
      <c r="Z25" s="44" t="s">
        <v>8</v>
      </c>
    </row>
    <row r="26" spans="1:26" s="44" customFormat="1" ht="16">
      <c r="A26" s="262" t="str">
        <f>'Payments Receipts Cash Book'!AH15</f>
        <v>Play Equip Maint</v>
      </c>
      <c r="B26" s="421">
        <f ca="1">'Payments Receipts Cash Book'!AH53</f>
        <v>0</v>
      </c>
      <c r="C26" s="105">
        <v>500</v>
      </c>
      <c r="D26" s="115">
        <f t="shared" ca="1" si="0"/>
        <v>500</v>
      </c>
      <c r="E26" s="75">
        <v>0</v>
      </c>
      <c r="F26" s="141">
        <v>100</v>
      </c>
      <c r="G26" s="151" t="s">
        <v>113</v>
      </c>
      <c r="H26" s="46"/>
      <c r="I26" s="75">
        <v>500</v>
      </c>
      <c r="J26" s="46"/>
      <c r="K26" s="186">
        <v>0</v>
      </c>
      <c r="L26" s="186">
        <v>0</v>
      </c>
      <c r="M26" s="82"/>
      <c r="N26" s="187">
        <v>0</v>
      </c>
      <c r="R26" s="56"/>
      <c r="T26" s="51"/>
      <c r="U26" s="52"/>
      <c r="V26" s="44" t="s">
        <v>8</v>
      </c>
      <c r="X26" s="44" t="s">
        <v>8</v>
      </c>
      <c r="Z26" s="44" t="s">
        <v>8</v>
      </c>
    </row>
    <row r="27" spans="1:26" s="44" customFormat="1" ht="16">
      <c r="A27" s="262" t="str">
        <f>'Payments Receipts Cash Book'!AI15</f>
        <v>Play Inspection</v>
      </c>
      <c r="B27" s="421">
        <f ca="1">'Payments Receipts Cash Book'!AI53</f>
        <v>0</v>
      </c>
      <c r="C27" s="104">
        <v>72.45</v>
      </c>
      <c r="D27" s="115">
        <f t="shared" ca="1" si="0"/>
        <v>72.45</v>
      </c>
      <c r="E27" s="75">
        <f>C27</f>
        <v>72.45</v>
      </c>
      <c r="F27" s="141">
        <f>75</f>
        <v>75</v>
      </c>
      <c r="G27" s="192" t="s">
        <v>137</v>
      </c>
      <c r="H27" s="46"/>
      <c r="I27" s="75">
        <v>0</v>
      </c>
      <c r="J27" s="46"/>
      <c r="K27" s="186">
        <v>52.06</v>
      </c>
      <c r="L27" s="186">
        <v>50.54</v>
      </c>
      <c r="M27" s="82">
        <v>-5</v>
      </c>
      <c r="N27" s="187">
        <v>50.68</v>
      </c>
      <c r="R27" s="56"/>
      <c r="U27" s="52"/>
      <c r="V27" s="44" t="s">
        <v>8</v>
      </c>
      <c r="X27" s="44" t="s">
        <v>8</v>
      </c>
      <c r="Z27" s="44" t="s">
        <v>8</v>
      </c>
    </row>
    <row r="28" spans="1:26" s="44" customFormat="1" ht="16">
      <c r="A28" s="262" t="str">
        <f>'Payments Receipts Cash Book'!AJ15</f>
        <v>Salary</v>
      </c>
      <c r="B28" s="423">
        <f ca="1">'Payments Receipts Cash Book'!AJ53</f>
        <v>4247.1399999999994</v>
      </c>
      <c r="C28" s="104">
        <v>6801.6</v>
      </c>
      <c r="D28" s="115">
        <f t="shared" ca="1" si="0"/>
        <v>2554.4600000000009</v>
      </c>
      <c r="E28" s="75">
        <f>15.02*10*52</f>
        <v>7810.4</v>
      </c>
      <c r="F28" s="141">
        <f>14.5*520</f>
        <v>7540</v>
      </c>
      <c r="G28" s="151" t="s">
        <v>114</v>
      </c>
      <c r="H28" s="527">
        <f>13.95*10*52</f>
        <v>7254</v>
      </c>
      <c r="I28" s="75">
        <f>6801.6-H28</f>
        <v>-452.39999999999964</v>
      </c>
      <c r="J28" s="46"/>
      <c r="K28" s="186">
        <v>7085.65</v>
      </c>
      <c r="L28" s="186">
        <f>15+6207.28</f>
        <v>6222.28</v>
      </c>
      <c r="M28" s="82"/>
      <c r="N28" s="187">
        <f>56+3131.69</f>
        <v>3187.69</v>
      </c>
      <c r="R28" s="56"/>
      <c r="T28" s="61"/>
      <c r="U28" s="52"/>
      <c r="V28" s="44" t="s">
        <v>8</v>
      </c>
      <c r="X28" s="44" t="s">
        <v>8</v>
      </c>
      <c r="Z28" s="44" t="s">
        <v>8</v>
      </c>
    </row>
    <row r="29" spans="1:26" s="44" customFormat="1" ht="16">
      <c r="A29" s="262" t="s">
        <v>115</v>
      </c>
      <c r="B29" s="423">
        <f ca="1">'Payments Receipts Cash Book'!AK53</f>
        <v>200.98000000000002</v>
      </c>
      <c r="C29" s="104">
        <v>200</v>
      </c>
      <c r="D29" s="115">
        <f t="shared" ca="1" si="0"/>
        <v>-0.98000000000001819</v>
      </c>
      <c r="E29" s="75">
        <f>88.94*2</f>
        <v>177.88</v>
      </c>
      <c r="F29" s="141">
        <v>75</v>
      </c>
      <c r="G29" s="151" t="s">
        <v>124</v>
      </c>
      <c r="H29" s="46"/>
      <c r="I29" s="75">
        <v>0</v>
      </c>
      <c r="J29" s="46"/>
      <c r="K29" s="186">
        <v>62.87</v>
      </c>
      <c r="L29" s="186">
        <v>281.95</v>
      </c>
      <c r="M29" s="82"/>
      <c r="N29" s="187">
        <v>91.58</v>
      </c>
      <c r="R29" s="56"/>
      <c r="T29" s="61"/>
      <c r="U29" s="52"/>
    </row>
    <row r="30" spans="1:26" s="44" customFormat="1" ht="16">
      <c r="A30" s="46" t="str">
        <f>'Payments Receipts Cash Book'!AL15</f>
        <v>Stationery C/Man</v>
      </c>
      <c r="B30" s="423">
        <f ca="1">'Payments Receipts Cash Book'!AL53</f>
        <v>49.49</v>
      </c>
      <c r="C30" s="104">
        <v>50</v>
      </c>
      <c r="D30" s="115">
        <f t="shared" ca="1" si="0"/>
        <v>0.50999999999999801</v>
      </c>
      <c r="E30" s="75">
        <f ca="1">B30*2</f>
        <v>98.98</v>
      </c>
      <c r="F30" s="141">
        <v>100</v>
      </c>
      <c r="G30" s="151" t="s">
        <v>116</v>
      </c>
      <c r="H30" s="46"/>
      <c r="I30" s="75">
        <v>-75</v>
      </c>
      <c r="J30" s="46"/>
      <c r="K30" s="186">
        <v>42.99</v>
      </c>
      <c r="L30" s="186">
        <v>0</v>
      </c>
      <c r="M30" s="82">
        <v>-50</v>
      </c>
      <c r="N30" s="187">
        <v>0</v>
      </c>
      <c r="R30" s="56"/>
      <c r="T30" s="61"/>
      <c r="U30" s="52"/>
      <c r="V30" s="44" t="s">
        <v>8</v>
      </c>
      <c r="X30" s="44" t="s">
        <v>8</v>
      </c>
      <c r="Z30" s="44" t="s">
        <v>8</v>
      </c>
    </row>
    <row r="31" spans="1:26" s="44" customFormat="1" ht="16">
      <c r="A31" s="46" t="str">
        <f>'Payments Receipts Cash Book'!AM15</f>
        <v>Subscriptions</v>
      </c>
      <c r="B31" s="423">
        <f ca="1">'Payments Receipts Cash Book'!AM53</f>
        <v>317.97000000000003</v>
      </c>
      <c r="C31" s="104">
        <f>395-77.03</f>
        <v>317.97000000000003</v>
      </c>
      <c r="D31" s="115">
        <f t="shared" ca="1" si="0"/>
        <v>0</v>
      </c>
      <c r="E31" s="75">
        <f ca="1">B31</f>
        <v>317.97000000000003</v>
      </c>
      <c r="F31" s="183">
        <f>341*111%</f>
        <v>378.51000000000005</v>
      </c>
      <c r="G31" s="151" t="s">
        <v>117</v>
      </c>
      <c r="H31" s="46"/>
      <c r="I31" s="75">
        <v>0</v>
      </c>
      <c r="J31" s="46"/>
      <c r="K31" s="186">
        <v>409.29</v>
      </c>
      <c r="L31" s="186">
        <v>602.85</v>
      </c>
      <c r="M31" s="82">
        <v>174.78</v>
      </c>
      <c r="N31" s="185">
        <v>494.96</v>
      </c>
      <c r="R31" s="56"/>
      <c r="T31" s="61"/>
      <c r="U31" s="62"/>
      <c r="V31" s="44" t="s">
        <v>8</v>
      </c>
      <c r="X31" s="44" t="s">
        <v>8</v>
      </c>
      <c r="Z31" s="44" t="s">
        <v>8</v>
      </c>
    </row>
    <row r="32" spans="1:26" s="44" customFormat="1" ht="16">
      <c r="A32" s="354" t="s">
        <v>353</v>
      </c>
      <c r="B32" s="526">
        <f ca="1">'Payments Receipts Cash Book'!AN53</f>
        <v>21468.32</v>
      </c>
      <c r="C32" s="362">
        <v>0</v>
      </c>
      <c r="D32" s="363">
        <f t="shared" ca="1" si="0"/>
        <v>-21468.32</v>
      </c>
      <c r="E32" s="75"/>
      <c r="F32" s="183"/>
      <c r="G32" s="151"/>
      <c r="H32" s="46"/>
      <c r="I32" s="75">
        <v>-3000</v>
      </c>
      <c r="J32" s="46"/>
      <c r="K32" s="186"/>
      <c r="L32" s="186"/>
      <c r="M32" s="82"/>
      <c r="N32" s="185"/>
      <c r="R32" s="56"/>
      <c r="T32" s="61"/>
      <c r="U32" s="62"/>
    </row>
    <row r="33" spans="1:26" s="44" customFormat="1" ht="16">
      <c r="A33" s="46" t="str">
        <f>'Payments Receipts Cash Book'!AO15</f>
        <v>Training</v>
      </c>
      <c r="B33" s="421">
        <f ca="1">'Payments Receipts Cash Book'!AO53</f>
        <v>0</v>
      </c>
      <c r="C33" s="104">
        <f>500-500</f>
        <v>0</v>
      </c>
      <c r="D33" s="115">
        <f t="shared" ca="1" si="0"/>
        <v>0</v>
      </c>
      <c r="E33" s="75">
        <v>0</v>
      </c>
      <c r="F33" s="141">
        <v>100</v>
      </c>
      <c r="G33" s="151" t="s">
        <v>125</v>
      </c>
      <c r="H33" s="46"/>
      <c r="I33" s="75">
        <v>0</v>
      </c>
      <c r="J33" s="46"/>
      <c r="K33" s="186">
        <v>0</v>
      </c>
      <c r="L33" s="186">
        <v>0</v>
      </c>
      <c r="M33" s="82"/>
      <c r="N33" s="187">
        <v>0</v>
      </c>
      <c r="R33" s="56"/>
      <c r="U33" s="52"/>
      <c r="V33" s="44" t="s">
        <v>8</v>
      </c>
      <c r="X33" s="44" t="s">
        <v>21</v>
      </c>
      <c r="Z33" s="44" t="s">
        <v>21</v>
      </c>
    </row>
    <row r="34" spans="1:26" s="44" customFormat="1" ht="16">
      <c r="A34" s="151" t="s">
        <v>103</v>
      </c>
      <c r="B34" s="424">
        <f ca="1">'Payments Receipts Cash Book'!K53</f>
        <v>735.7700000000001</v>
      </c>
      <c r="C34" s="104">
        <v>0</v>
      </c>
      <c r="D34" s="115">
        <f t="shared" ca="1" si="0"/>
        <v>-735.7700000000001</v>
      </c>
      <c r="E34" s="75">
        <f ca="1">D34</f>
        <v>-735.7700000000001</v>
      </c>
      <c r="F34" s="141">
        <v>0</v>
      </c>
      <c r="G34" s="148" t="s">
        <v>79</v>
      </c>
      <c r="H34" s="46"/>
      <c r="I34" s="75">
        <v>0</v>
      </c>
      <c r="J34" s="46"/>
      <c r="K34" s="186">
        <v>926.12</v>
      </c>
      <c r="L34" s="186">
        <v>1577.76</v>
      </c>
      <c r="M34" s="82"/>
      <c r="N34" s="187">
        <v>1214.21</v>
      </c>
      <c r="R34" s="56"/>
      <c r="T34" s="61"/>
      <c r="U34" s="52"/>
      <c r="V34" s="44" t="s">
        <v>8</v>
      </c>
      <c r="X34" s="44" t="s">
        <v>21</v>
      </c>
      <c r="Z34" s="44" t="s">
        <v>8</v>
      </c>
    </row>
    <row r="35" spans="1:26" s="51" customFormat="1" ht="17" thickBot="1">
      <c r="A35" s="45" t="s">
        <v>22</v>
      </c>
      <c r="B35" s="116">
        <f ca="1">SUM(B4:B34)</f>
        <v>34783.71</v>
      </c>
      <c r="C35" s="182">
        <f>SUM(C4:C34)</f>
        <v>23186.010999999999</v>
      </c>
      <c r="D35" s="116">
        <f ca="1">SUM(D4:D34)</f>
        <v>-11597.698999999999</v>
      </c>
      <c r="E35" s="94">
        <f ca="1">SUM(E4:E34)</f>
        <v>23215.564999999999</v>
      </c>
      <c r="F35" s="142">
        <f ca="1">SUM(F4:F34)</f>
        <v>23300.128699999997</v>
      </c>
      <c r="G35" s="63"/>
      <c r="H35" s="63"/>
      <c r="I35" s="113">
        <f ca="1">SUM(I4:I34)</f>
        <v>719.29</v>
      </c>
      <c r="J35" s="63"/>
      <c r="K35" s="94">
        <f>SUM(K4:K34)</f>
        <v>21006.030000000002</v>
      </c>
      <c r="L35" s="94">
        <f>SUM(L4:L34)</f>
        <v>20383.599999999999</v>
      </c>
      <c r="M35" s="86">
        <f>SUM(M4:M34)</f>
        <v>0</v>
      </c>
      <c r="N35" s="64">
        <f>SUM(N4:N34)</f>
        <v>17088.7</v>
      </c>
      <c r="R35" s="56"/>
      <c r="T35" s="65"/>
      <c r="U35" s="66"/>
      <c r="V35" s="51" t="s">
        <v>8</v>
      </c>
      <c r="X35" s="51" t="s">
        <v>8</v>
      </c>
    </row>
    <row r="36" spans="1:26" s="51" customFormat="1" ht="17" hidden="1" thickTop="1">
      <c r="A36" s="67" t="s">
        <v>43</v>
      </c>
      <c r="B36" s="68"/>
      <c r="C36" s="69"/>
      <c r="D36" s="68"/>
      <c r="E36" s="68"/>
      <c r="F36" s="68"/>
      <c r="G36" s="68"/>
      <c r="H36" s="68"/>
      <c r="I36" s="68"/>
      <c r="J36" s="68"/>
      <c r="K36" s="68"/>
      <c r="L36" s="87"/>
      <c r="M36" s="88"/>
      <c r="N36" s="88"/>
      <c r="O36" s="70"/>
      <c r="P36" s="71"/>
      <c r="Q36" s="71"/>
      <c r="R36" s="72"/>
      <c r="T36" s="65"/>
      <c r="U36" s="66"/>
    </row>
    <row r="37" spans="1:26" s="51" customFormat="1" ht="17" hidden="1" thickTop="1">
      <c r="A37" s="45" t="s">
        <v>27</v>
      </c>
      <c r="B37" s="45"/>
      <c r="C37" s="73"/>
      <c r="D37" s="45"/>
      <c r="E37" s="45"/>
      <c r="F37" s="45"/>
      <c r="G37" s="45"/>
      <c r="H37" s="45"/>
      <c r="I37" s="45"/>
      <c r="J37" s="45"/>
      <c r="K37" s="45"/>
      <c r="L37" s="99">
        <v>-4615.83</v>
      </c>
      <c r="M37" s="89"/>
      <c r="N37" s="89"/>
      <c r="O37" s="74">
        <v>4615.83</v>
      </c>
      <c r="P37" s="71"/>
      <c r="Q37" s="71"/>
      <c r="R37" s="72"/>
      <c r="T37" s="65"/>
      <c r="U37" s="66"/>
    </row>
    <row r="38" spans="1:26" s="51" customFormat="1" ht="17" hidden="1" thickTop="1">
      <c r="A38" s="46" t="s">
        <v>35</v>
      </c>
      <c r="B38" s="395"/>
      <c r="C38" s="75"/>
      <c r="D38" s="46"/>
      <c r="E38" s="46"/>
      <c r="F38" s="46"/>
      <c r="G38" s="46"/>
      <c r="H38" s="46"/>
      <c r="I38" s="46"/>
      <c r="J38" s="46"/>
      <c r="K38" s="46"/>
      <c r="L38" s="85">
        <v>665.83</v>
      </c>
      <c r="M38" s="90"/>
      <c r="N38" s="90"/>
      <c r="O38" s="57"/>
      <c r="P38" s="71"/>
      <c r="Q38" s="71"/>
      <c r="R38" s="72"/>
      <c r="T38" s="65"/>
      <c r="U38" s="66"/>
    </row>
    <row r="39" spans="1:26" s="51" customFormat="1" ht="17" hidden="1" thickTop="1">
      <c r="A39" s="46" t="s">
        <v>39</v>
      </c>
      <c r="B39" s="395"/>
      <c r="C39" s="75"/>
      <c r="D39" s="46"/>
      <c r="E39" s="46"/>
      <c r="F39" s="46"/>
      <c r="G39" s="46"/>
      <c r="H39" s="46"/>
      <c r="I39" s="46"/>
      <c r="J39" s="46"/>
      <c r="K39" s="46"/>
      <c r="L39" s="85">
        <v>1050</v>
      </c>
      <c r="M39" s="90"/>
      <c r="N39" s="90"/>
      <c r="O39" s="57"/>
      <c r="P39" s="71"/>
      <c r="Q39" s="71"/>
      <c r="R39" s="72"/>
      <c r="T39" s="65"/>
      <c r="U39" s="66"/>
    </row>
    <row r="40" spans="1:26" s="51" customFormat="1" hidden="1" thickTop="1">
      <c r="A40" s="46" t="s">
        <v>38</v>
      </c>
      <c r="B40" s="395"/>
      <c r="C40" s="75"/>
      <c r="D40" s="46"/>
      <c r="E40" s="46"/>
      <c r="F40" s="46"/>
      <c r="G40" s="46"/>
      <c r="H40" s="46"/>
      <c r="I40" s="46"/>
      <c r="J40" s="46"/>
      <c r="K40" s="46"/>
      <c r="L40" s="85">
        <v>2900</v>
      </c>
      <c r="M40" s="91"/>
      <c r="N40" s="91"/>
      <c r="O40" s="57" t="s">
        <v>8</v>
      </c>
      <c r="P40" s="71"/>
      <c r="Q40" s="71"/>
      <c r="R40" s="72"/>
      <c r="T40" s="65"/>
      <c r="U40" s="66"/>
    </row>
    <row r="41" spans="1:26" s="51" customFormat="1" ht="17" hidden="1" thickTop="1">
      <c r="A41" s="46"/>
      <c r="B41" s="395"/>
      <c r="C41" s="75"/>
      <c r="D41" s="46"/>
      <c r="E41" s="46"/>
      <c r="F41" s="46"/>
      <c r="G41" s="46"/>
      <c r="H41" s="46"/>
      <c r="I41" s="46"/>
      <c r="J41" s="46"/>
      <c r="K41" s="46"/>
      <c r="L41" s="85"/>
      <c r="M41" s="91"/>
      <c r="N41" s="91"/>
      <c r="O41" s="57"/>
      <c r="P41" s="71"/>
      <c r="Q41" s="71"/>
      <c r="R41" s="72"/>
      <c r="T41" s="65"/>
      <c r="U41" s="66"/>
    </row>
    <row r="42" spans="1:26" s="51" customFormat="1" ht="17" hidden="1" thickTop="1">
      <c r="A42" s="45" t="s">
        <v>3</v>
      </c>
      <c r="B42" s="45"/>
      <c r="C42" s="73"/>
      <c r="D42" s="45"/>
      <c r="E42" s="45"/>
      <c r="F42" s="45"/>
      <c r="G42" s="45"/>
      <c r="H42" s="45"/>
      <c r="I42" s="45"/>
      <c r="J42" s="45"/>
      <c r="K42" s="45"/>
      <c r="L42" s="99">
        <v>-250</v>
      </c>
      <c r="M42" s="89"/>
      <c r="N42" s="89"/>
      <c r="O42" s="74">
        <v>500</v>
      </c>
      <c r="P42" s="71"/>
      <c r="Q42" s="71"/>
      <c r="R42" s="72"/>
      <c r="T42" s="65"/>
      <c r="U42" s="66"/>
    </row>
    <row r="43" spans="1:26" s="51" customFormat="1" ht="35" hidden="1" thickTop="1">
      <c r="A43" s="47" t="s">
        <v>44</v>
      </c>
      <c r="B43" s="414"/>
      <c r="C43" s="76"/>
      <c r="D43" s="47"/>
      <c r="E43" s="47"/>
      <c r="F43" s="47"/>
      <c r="G43" s="47"/>
      <c r="H43" s="47"/>
      <c r="I43" s="47"/>
      <c r="J43" s="47"/>
      <c r="K43" s="47"/>
      <c r="L43" s="85"/>
      <c r="M43" s="90"/>
      <c r="N43" s="90"/>
      <c r="O43" s="57"/>
      <c r="P43" s="71"/>
      <c r="Q43" s="71"/>
      <c r="R43" s="72"/>
      <c r="T43" s="65"/>
      <c r="U43" s="66"/>
    </row>
    <row r="44" spans="1:26" s="51" customFormat="1" ht="17" hidden="1" thickTop="1">
      <c r="A44" s="46"/>
      <c r="B44" s="395"/>
      <c r="C44" s="75"/>
      <c r="D44" s="46"/>
      <c r="E44" s="46"/>
      <c r="F44" s="46"/>
      <c r="G44" s="46"/>
      <c r="H44" s="46"/>
      <c r="I44" s="46"/>
      <c r="J44" s="46"/>
      <c r="K44" s="46"/>
      <c r="L44" s="85"/>
      <c r="M44" s="90"/>
      <c r="N44" s="90"/>
      <c r="O44" s="57"/>
      <c r="P44" s="71"/>
      <c r="Q44" s="71"/>
      <c r="R44" s="72"/>
      <c r="T44" s="65"/>
      <c r="U44" s="66"/>
    </row>
    <row r="45" spans="1:26" s="51" customFormat="1" ht="17" hidden="1" thickTop="1">
      <c r="A45" s="45" t="s">
        <v>14</v>
      </c>
      <c r="B45" s="45"/>
      <c r="C45" s="73"/>
      <c r="D45" s="45"/>
      <c r="E45" s="45"/>
      <c r="F45" s="45"/>
      <c r="G45" s="45"/>
      <c r="H45" s="45"/>
      <c r="I45" s="45"/>
      <c r="J45" s="45"/>
      <c r="K45" s="45"/>
      <c r="L45" s="99">
        <v>-911.83</v>
      </c>
      <c r="M45" s="89"/>
      <c r="N45" s="89"/>
      <c r="O45" s="74">
        <v>1011.83</v>
      </c>
      <c r="P45" s="71"/>
      <c r="Q45" s="71"/>
      <c r="R45" s="72"/>
      <c r="T45" s="65"/>
      <c r="U45" s="66"/>
    </row>
    <row r="46" spans="1:26" s="51" customFormat="1" ht="17" hidden="1" thickTop="1">
      <c r="A46" s="46" t="s">
        <v>42</v>
      </c>
      <c r="B46" s="395"/>
      <c r="C46" s="75"/>
      <c r="D46" s="46"/>
      <c r="E46" s="46"/>
      <c r="F46" s="46"/>
      <c r="G46" s="46"/>
      <c r="H46" s="46"/>
      <c r="I46" s="46"/>
      <c r="J46" s="46"/>
      <c r="K46" s="46"/>
      <c r="L46" s="85">
        <v>763.96</v>
      </c>
      <c r="M46" s="91"/>
      <c r="N46" s="91"/>
      <c r="O46" s="57"/>
      <c r="P46" s="71"/>
      <c r="Q46" s="71"/>
      <c r="R46" s="72"/>
      <c r="T46" s="65"/>
      <c r="U46" s="66"/>
    </row>
    <row r="47" spans="1:26" s="51" customFormat="1" hidden="1" thickTop="1">
      <c r="A47" s="46" t="s">
        <v>41</v>
      </c>
      <c r="B47" s="395"/>
      <c r="C47" s="75"/>
      <c r="D47" s="46"/>
      <c r="E47" s="46"/>
      <c r="F47" s="46"/>
      <c r="G47" s="46"/>
      <c r="H47" s="46"/>
      <c r="I47" s="46"/>
      <c r="J47" s="46"/>
      <c r="K47" s="46"/>
      <c r="L47" s="85">
        <v>133.35</v>
      </c>
      <c r="M47" s="91"/>
      <c r="N47" s="91"/>
      <c r="O47" s="57" t="s">
        <v>8</v>
      </c>
      <c r="P47" s="71"/>
      <c r="Q47" s="71"/>
      <c r="R47" s="72"/>
      <c r="T47" s="65"/>
      <c r="U47" s="66"/>
    </row>
    <row r="48" spans="1:26" s="51" customFormat="1" hidden="1" thickTop="1">
      <c r="A48" s="46" t="s">
        <v>40</v>
      </c>
      <c r="B48" s="395"/>
      <c r="C48" s="75"/>
      <c r="D48" s="46"/>
      <c r="E48" s="46"/>
      <c r="F48" s="46"/>
      <c r="G48" s="46"/>
      <c r="H48" s="46"/>
      <c r="I48" s="46"/>
      <c r="J48" s="46"/>
      <c r="K48" s="46"/>
      <c r="L48" s="85">
        <v>15</v>
      </c>
      <c r="M48" s="91"/>
      <c r="N48" s="91"/>
      <c r="O48" s="57" t="s">
        <v>8</v>
      </c>
      <c r="P48" s="71"/>
      <c r="Q48" s="71"/>
      <c r="R48" s="72"/>
      <c r="T48" s="65"/>
      <c r="U48" s="66"/>
    </row>
    <row r="49" spans="1:22" s="51" customFormat="1" hidden="1" thickTop="1">
      <c r="A49" s="46" t="s">
        <v>37</v>
      </c>
      <c r="B49" s="395"/>
      <c r="C49" s="75"/>
      <c r="D49" s="46"/>
      <c r="E49" s="46"/>
      <c r="F49" s="46"/>
      <c r="G49" s="46"/>
      <c r="H49" s="46"/>
      <c r="I49" s="46"/>
      <c r="J49" s="46"/>
      <c r="K49" s="46"/>
      <c r="L49" s="85">
        <v>81.42</v>
      </c>
      <c r="M49" s="91"/>
      <c r="N49" s="91"/>
      <c r="O49" s="57" t="s">
        <v>8</v>
      </c>
      <c r="P49" s="71"/>
      <c r="Q49" s="71"/>
      <c r="R49" s="72"/>
      <c r="T49" s="65"/>
      <c r="U49" s="66"/>
    </row>
    <row r="50" spans="1:22" s="51" customFormat="1" hidden="1" thickTop="1">
      <c r="A50" s="46" t="s">
        <v>36</v>
      </c>
      <c r="B50" s="395"/>
      <c r="C50" s="75"/>
      <c r="D50" s="46"/>
      <c r="E50" s="46"/>
      <c r="F50" s="140"/>
      <c r="G50" s="140"/>
      <c r="H50" s="140"/>
      <c r="I50" s="140"/>
      <c r="J50" s="140"/>
      <c r="K50" s="140"/>
      <c r="L50" s="100">
        <v>18.100000000000001</v>
      </c>
      <c r="M50" s="91"/>
      <c r="N50" s="91"/>
      <c r="O50" s="57" t="s">
        <v>8</v>
      </c>
      <c r="P50" s="71"/>
      <c r="Q50" s="71"/>
      <c r="R50" s="72"/>
      <c r="T50" s="65"/>
      <c r="U50" s="66"/>
    </row>
    <row r="51" spans="1:22" s="51" customFormat="1" ht="17" thickTop="1">
      <c r="A51" s="44"/>
      <c r="B51" s="398" t="b">
        <f ca="1">B35='Bank Rec'!C11</f>
        <v>1</v>
      </c>
      <c r="C51" s="72">
        <f ca="1">B35-'Payments Receipts Cash Book'!J53</f>
        <v>0</v>
      </c>
      <c r="D51" s="72"/>
      <c r="E51" s="72">
        <f ca="1">C35-E35</f>
        <v>-29.554000000000087</v>
      </c>
      <c r="F51" s="44"/>
      <c r="G51" s="72"/>
      <c r="H51" s="44"/>
      <c r="I51" s="72">
        <f ca="1">D52-I35</f>
        <v>9151.3310000000019</v>
      </c>
      <c r="J51" s="44"/>
      <c r="K51" s="44"/>
      <c r="L51" s="101"/>
      <c r="M51" s="91"/>
      <c r="N51" s="91"/>
      <c r="O51" s="77"/>
      <c r="P51" s="71"/>
      <c r="Q51" s="71"/>
      <c r="R51" s="72"/>
      <c r="T51" s="65"/>
      <c r="U51" s="66"/>
    </row>
    <row r="52" spans="1:22" s="51" customFormat="1" ht="16">
      <c r="A52" s="44"/>
      <c r="B52" s="399">
        <f ca="1">B35-B32</f>
        <v>13315.39</v>
      </c>
      <c r="C52" s="72"/>
      <c r="D52" s="399">
        <f ca="1">D35-D32</f>
        <v>9870.621000000001</v>
      </c>
      <c r="E52" s="44"/>
      <c r="F52" s="44"/>
      <c r="G52" s="44"/>
      <c r="H52" s="44"/>
      <c r="I52" s="44"/>
      <c r="J52" s="44"/>
      <c r="K52" s="44"/>
      <c r="L52" s="101"/>
      <c r="M52" s="91"/>
      <c r="N52" s="91"/>
      <c r="O52" s="77"/>
      <c r="P52" s="71"/>
      <c r="Q52" s="71"/>
      <c r="R52" s="72"/>
      <c r="T52" s="65"/>
      <c r="U52" s="66"/>
    </row>
    <row r="53" spans="1:22" s="44" customFormat="1" ht="36" customHeight="1">
      <c r="A53" s="79" t="s">
        <v>5</v>
      </c>
      <c r="B53" s="146" t="s">
        <v>67</v>
      </c>
      <c r="C53" s="147" t="s">
        <v>296</v>
      </c>
      <c r="D53" s="146" t="s">
        <v>68</v>
      </c>
      <c r="E53" s="49" t="s">
        <v>132</v>
      </c>
      <c r="F53" s="145" t="s">
        <v>75</v>
      </c>
      <c r="G53" s="50"/>
      <c r="H53" s="50"/>
      <c r="I53" s="50"/>
      <c r="J53" s="50"/>
      <c r="K53" s="49" t="s">
        <v>67</v>
      </c>
      <c r="L53" s="92" t="str">
        <f>L3</f>
        <v>Actual 2021/22</v>
      </c>
      <c r="M53" s="92" t="s">
        <v>49</v>
      </c>
      <c r="N53" s="92" t="s">
        <v>49</v>
      </c>
      <c r="Q53" s="61"/>
      <c r="R53" s="44" t="s">
        <v>8</v>
      </c>
      <c r="T53" s="44" t="s">
        <v>8</v>
      </c>
      <c r="V53" s="44">
        <v>0</v>
      </c>
    </row>
    <row r="54" spans="1:22" s="44" customFormat="1" ht="17">
      <c r="A54" s="152" t="s">
        <v>97</v>
      </c>
      <c r="B54" s="401">
        <f>'Payments Receipts Cash Book'!H12</f>
        <v>11992.689999999999</v>
      </c>
      <c r="C54" s="153">
        <v>0</v>
      </c>
      <c r="D54" s="115">
        <f t="shared" ref="D54:D61" si="1">B54-C54</f>
        <v>11992.689999999999</v>
      </c>
      <c r="E54" s="75">
        <f>B54</f>
        <v>11992.689999999999</v>
      </c>
      <c r="F54" s="141">
        <v>0</v>
      </c>
      <c r="G54" s="487" t="s">
        <v>122</v>
      </c>
      <c r="H54" s="46"/>
      <c r="I54" s="46"/>
      <c r="J54" s="46"/>
      <c r="K54" s="185">
        <v>0</v>
      </c>
      <c r="L54" s="185" t="s">
        <v>8</v>
      </c>
      <c r="M54" s="93">
        <v>495</v>
      </c>
      <c r="N54" s="83">
        <v>7258.46</v>
      </c>
      <c r="O54" s="56"/>
      <c r="Q54" s="61"/>
      <c r="R54" s="44" t="s">
        <v>8</v>
      </c>
      <c r="T54" s="44" t="s">
        <v>8</v>
      </c>
      <c r="V54" s="44">
        <v>0</v>
      </c>
    </row>
    <row r="55" spans="1:22" s="44" customFormat="1" ht="16">
      <c r="A55" s="152" t="s">
        <v>98</v>
      </c>
      <c r="B55" s="401">
        <f>'Payments Receipts Cash Book'!J12</f>
        <v>200</v>
      </c>
      <c r="C55" s="54">
        <v>0</v>
      </c>
      <c r="D55" s="115">
        <f t="shared" si="1"/>
        <v>200</v>
      </c>
      <c r="E55" s="75">
        <f t="shared" ref="E55:E61" si="2">B55</f>
        <v>200</v>
      </c>
      <c r="F55" s="141">
        <v>0</v>
      </c>
      <c r="G55" s="488"/>
      <c r="H55" s="46"/>
      <c r="I55" s="46"/>
      <c r="J55" s="46"/>
      <c r="K55" s="185">
        <v>2950</v>
      </c>
      <c r="L55" s="185">
        <f>891+2000</f>
        <v>2891</v>
      </c>
      <c r="M55" s="93">
        <v>285.5</v>
      </c>
      <c r="N55" s="83">
        <v>0</v>
      </c>
      <c r="O55" s="56"/>
      <c r="Q55" s="61"/>
      <c r="R55" s="44" t="s">
        <v>21</v>
      </c>
      <c r="T55" s="44" t="s">
        <v>8</v>
      </c>
      <c r="V55" s="44">
        <v>754.64</v>
      </c>
    </row>
    <row r="56" spans="1:22" s="44" customFormat="1" ht="17">
      <c r="A56" s="152" t="s">
        <v>9</v>
      </c>
      <c r="B56" s="401">
        <f>'Bank Rec'!C8+'Bank Rec'!C9</f>
        <v>0.48</v>
      </c>
      <c r="C56" s="54">
        <v>0</v>
      </c>
      <c r="D56" s="115">
        <f t="shared" si="1"/>
        <v>0.48</v>
      </c>
      <c r="E56" s="75">
        <f t="shared" si="2"/>
        <v>0.48</v>
      </c>
      <c r="F56" s="141">
        <v>0</v>
      </c>
      <c r="G56" s="488"/>
      <c r="H56" s="46"/>
      <c r="I56" s="46"/>
      <c r="J56" s="46"/>
      <c r="K56" s="185">
        <v>0.23</v>
      </c>
      <c r="L56" s="185" t="s">
        <v>8</v>
      </c>
      <c r="M56" s="93">
        <v>0</v>
      </c>
      <c r="N56" s="83">
        <v>0.03</v>
      </c>
      <c r="O56" s="56"/>
      <c r="Q56" s="61"/>
    </row>
    <row r="57" spans="1:22" s="44" customFormat="1" ht="17">
      <c r="A57" s="152" t="s">
        <v>14</v>
      </c>
      <c r="B57" s="401">
        <v>0</v>
      </c>
      <c r="C57" s="54">
        <v>0</v>
      </c>
      <c r="D57" s="115">
        <f t="shared" si="1"/>
        <v>0</v>
      </c>
      <c r="E57" s="75">
        <v>1000</v>
      </c>
      <c r="F57" s="141">
        <v>0</v>
      </c>
      <c r="G57" s="488"/>
      <c r="H57" s="46"/>
      <c r="I57" s="46"/>
      <c r="J57" s="46"/>
      <c r="K57" s="185">
        <v>0</v>
      </c>
      <c r="L57" s="185" t="s">
        <v>8</v>
      </c>
      <c r="M57" s="93"/>
      <c r="N57" s="83"/>
      <c r="O57" s="56"/>
      <c r="Q57" s="61"/>
    </row>
    <row r="58" spans="1:22" s="44" customFormat="1" ht="16">
      <c r="A58" s="152" t="s">
        <v>100</v>
      </c>
      <c r="B58" s="401">
        <v>0</v>
      </c>
      <c r="C58" s="54">
        <v>0</v>
      </c>
      <c r="D58" s="115">
        <f t="shared" si="1"/>
        <v>0</v>
      </c>
      <c r="E58" s="75">
        <f t="shared" si="2"/>
        <v>0</v>
      </c>
      <c r="F58" s="141">
        <v>0</v>
      </c>
      <c r="G58" s="488"/>
      <c r="H58" s="46"/>
      <c r="I58" s="46"/>
      <c r="J58" s="46"/>
      <c r="K58" s="185">
        <v>0</v>
      </c>
      <c r="L58" s="84">
        <v>1200</v>
      </c>
      <c r="M58" s="93"/>
      <c r="N58" s="83">
        <v>4373.87</v>
      </c>
      <c r="O58" s="56"/>
      <c r="Q58" s="61"/>
    </row>
    <row r="59" spans="1:22" s="44" customFormat="1" ht="16">
      <c r="A59" s="152" t="s">
        <v>4</v>
      </c>
      <c r="B59" s="401">
        <f>'Payments Receipts Cash Book'!G12</f>
        <v>23186.010000000002</v>
      </c>
      <c r="C59" s="54">
        <v>23186.01</v>
      </c>
      <c r="D59" s="115">
        <f t="shared" si="1"/>
        <v>0</v>
      </c>
      <c r="E59" s="75">
        <f>C59</f>
        <v>23186.01</v>
      </c>
      <c r="F59" s="141">
        <f>C59</f>
        <v>23186.01</v>
      </c>
      <c r="G59" s="488"/>
      <c r="H59" s="46"/>
      <c r="I59" s="46"/>
      <c r="J59" s="46"/>
      <c r="K59" s="185">
        <v>23186.01</v>
      </c>
      <c r="L59" s="84">
        <v>16622</v>
      </c>
      <c r="M59" s="93"/>
      <c r="N59" s="83">
        <v>16622</v>
      </c>
      <c r="O59" s="56"/>
      <c r="Q59" s="61"/>
    </row>
    <row r="60" spans="1:22" s="44" customFormat="1" ht="16">
      <c r="A60" s="400" t="s">
        <v>351</v>
      </c>
      <c r="B60" s="401">
        <f>'Payments Receipts Cash Book'!I12</f>
        <v>40</v>
      </c>
      <c r="C60" s="54">
        <v>0</v>
      </c>
      <c r="D60" s="115">
        <f t="shared" si="1"/>
        <v>40</v>
      </c>
      <c r="E60" s="75">
        <f t="shared" si="2"/>
        <v>40</v>
      </c>
      <c r="F60" s="141">
        <v>0</v>
      </c>
      <c r="G60" s="488"/>
      <c r="H60" s="46"/>
      <c r="I60" s="46"/>
      <c r="J60" s="46"/>
      <c r="K60" s="185">
        <v>14590.23</v>
      </c>
      <c r="L60" s="84"/>
      <c r="M60" s="93"/>
      <c r="N60" s="83"/>
      <c r="O60" s="56"/>
      <c r="Q60" s="61"/>
    </row>
    <row r="61" spans="1:22" s="398" customFormat="1" ht="16">
      <c r="A61" s="400" t="s">
        <v>99</v>
      </c>
      <c r="B61" s="401">
        <f>'Payments Receipts Cash Book'!F12</f>
        <v>926.12</v>
      </c>
      <c r="C61" s="402">
        <v>0</v>
      </c>
      <c r="D61" s="401">
        <f t="shared" si="1"/>
        <v>926.12</v>
      </c>
      <c r="E61" s="403">
        <f t="shared" si="2"/>
        <v>926.12</v>
      </c>
      <c r="F61" s="404">
        <v>0</v>
      </c>
      <c r="G61" s="489"/>
      <c r="H61" s="395"/>
      <c r="I61" s="395"/>
      <c r="J61" s="395"/>
      <c r="K61" s="405">
        <v>1577.76</v>
      </c>
      <c r="L61" s="405">
        <v>1214.23</v>
      </c>
      <c r="M61" s="406">
        <v>0</v>
      </c>
      <c r="N61" s="397">
        <v>2032.87</v>
      </c>
      <c r="O61" s="407"/>
      <c r="Q61" s="408"/>
    </row>
    <row r="62" spans="1:22" s="51" customFormat="1" ht="17" thickBot="1">
      <c r="A62" s="80" t="s">
        <v>23</v>
      </c>
      <c r="B62" s="117">
        <f>SUM(B54:B61)</f>
        <v>36345.300000000003</v>
      </c>
      <c r="C62" s="102">
        <f>SUM(C54:C61)</f>
        <v>23186.01</v>
      </c>
      <c r="D62" s="117">
        <f>SUM(D54:D61)</f>
        <v>13159.289999999999</v>
      </c>
      <c r="E62" s="113">
        <f>SUM(E54:E61)</f>
        <v>37345.299999999996</v>
      </c>
      <c r="F62" s="142">
        <f>SUM(F54:F61)</f>
        <v>23186.01</v>
      </c>
      <c r="G62" s="81"/>
      <c r="H62" s="81"/>
      <c r="I62" s="81"/>
      <c r="J62" s="81"/>
      <c r="K62" s="94">
        <f>SUM(K54:K61)</f>
        <v>42304.23</v>
      </c>
      <c r="L62" s="94">
        <f>SUM(L54:L61)</f>
        <v>21927.23</v>
      </c>
      <c r="M62" s="95">
        <f>SUM(M54:M61)</f>
        <v>780.5</v>
      </c>
      <c r="N62" s="64">
        <f>SUM(N54:N61)</f>
        <v>30287.23</v>
      </c>
      <c r="Q62" s="65"/>
    </row>
    <row r="63" spans="1:22" s="51" customFormat="1" ht="17" thickTop="1">
      <c r="B63" s="51" t="b">
        <f>B62='Bank Rec'!D9</f>
        <v>1</v>
      </c>
      <c r="D63" s="51" t="s">
        <v>413</v>
      </c>
      <c r="L63" s="78" t="s">
        <v>8</v>
      </c>
      <c r="M63" s="71"/>
      <c r="N63" s="71"/>
      <c r="Q63" s="65"/>
    </row>
    <row r="64" spans="1:22" s="51" customFormat="1" ht="16" hidden="1">
      <c r="A64" s="45" t="s">
        <v>127</v>
      </c>
      <c r="B64" s="422" t="s">
        <v>54</v>
      </c>
      <c r="C64" s="188" t="s">
        <v>66</v>
      </c>
      <c r="D64" s="188" t="s">
        <v>119</v>
      </c>
      <c r="F64" s="143">
        <f ca="1">F62-F35</f>
        <v>-114.11869999999908</v>
      </c>
      <c r="L64" s="78"/>
      <c r="M64" s="71"/>
      <c r="N64" s="71"/>
      <c r="Q64" s="65"/>
    </row>
    <row r="65" spans="1:21" hidden="1">
      <c r="A65" s="151" t="s">
        <v>120</v>
      </c>
      <c r="B65" s="422">
        <v>310.45</v>
      </c>
      <c r="C65" s="188">
        <v>311.18</v>
      </c>
      <c r="D65" s="188">
        <v>312.89</v>
      </c>
      <c r="E65" s="1">
        <f>D65-C65</f>
        <v>1.7099999999999795</v>
      </c>
      <c r="L65" s="96"/>
      <c r="M65" s="96"/>
      <c r="N65" s="96"/>
      <c r="O65" s="6"/>
      <c r="P65" s="6"/>
      <c r="Q65" s="6"/>
      <c r="U65" s="1"/>
    </row>
    <row r="66" spans="1:21" hidden="1">
      <c r="A66" s="151" t="s">
        <v>128</v>
      </c>
      <c r="B66" s="403">
        <f>L59/B65</f>
        <v>53.541633113222744</v>
      </c>
      <c r="C66" s="189">
        <f>B59/C65</f>
        <v>74.509962079825186</v>
      </c>
      <c r="D66" s="189">
        <f>F59/D65</f>
        <v>74.102751765796285</v>
      </c>
      <c r="G66" s="1" t="s">
        <v>8</v>
      </c>
      <c r="L66" s="96"/>
      <c r="M66" s="96"/>
      <c r="N66" s="96"/>
      <c r="O66" s="6"/>
      <c r="P66" s="6"/>
      <c r="Q66" s="6"/>
      <c r="U66" s="1"/>
    </row>
    <row r="67" spans="1:21" hidden="1">
      <c r="A67" s="151" t="s">
        <v>80</v>
      </c>
      <c r="B67" s="403"/>
      <c r="C67" s="189">
        <f>C66-B66</f>
        <v>20.968328966602442</v>
      </c>
      <c r="D67" s="189">
        <f>D66-C66</f>
        <v>-0.40721031402890162</v>
      </c>
      <c r="L67" s="96"/>
      <c r="M67" s="96"/>
      <c r="N67" s="96"/>
      <c r="O67" s="6"/>
      <c r="P67" s="6"/>
      <c r="Q67" s="6"/>
      <c r="U67" s="1"/>
    </row>
    <row r="68" spans="1:21" hidden="1">
      <c r="A68" s="165"/>
      <c r="B68" s="399"/>
      <c r="C68" s="165"/>
      <c r="D68" s="184"/>
      <c r="G68" s="96" t="s">
        <v>8</v>
      </c>
      <c r="L68" s="96"/>
      <c r="M68" s="96"/>
      <c r="N68" s="96"/>
      <c r="O68" s="6"/>
      <c r="P68" s="6"/>
      <c r="Q68" s="6"/>
      <c r="U68" s="1"/>
    </row>
    <row r="69" spans="1:21" ht="19" hidden="1">
      <c r="A69" s="165" t="s">
        <v>121</v>
      </c>
      <c r="B69" s="149"/>
      <c r="C69" s="149"/>
      <c r="D69" s="149"/>
      <c r="G69" s="96"/>
      <c r="L69" s="96"/>
      <c r="M69" s="96"/>
      <c r="N69" s="96"/>
      <c r="O69" s="6"/>
      <c r="P69" s="6"/>
      <c r="Q69" s="6"/>
      <c r="U69" s="1"/>
    </row>
    <row r="70" spans="1:21" s="149" customFormat="1" ht="19">
      <c r="B70" s="193"/>
      <c r="E70" s="193"/>
      <c r="F70" s="150"/>
      <c r="G70" s="193" t="s">
        <v>8</v>
      </c>
      <c r="L70" s="193"/>
      <c r="M70" s="193"/>
      <c r="N70" s="193"/>
      <c r="O70" s="525"/>
      <c r="P70" s="525"/>
      <c r="Q70" s="525"/>
    </row>
    <row r="71" spans="1:21">
      <c r="A71" s="367" t="s">
        <v>62</v>
      </c>
      <c r="B71" s="51"/>
      <c r="L71" s="96"/>
      <c r="M71" s="98"/>
      <c r="N71" s="98"/>
      <c r="O71" s="6"/>
      <c r="P71" s="6"/>
      <c r="Q71" s="6"/>
      <c r="U71" s="1"/>
    </row>
    <row r="72" spans="1:21">
      <c r="A72" s="112" t="s">
        <v>134</v>
      </c>
      <c r="B72" s="112" t="s">
        <v>10</v>
      </c>
      <c r="L72" s="97"/>
      <c r="M72" s="98"/>
      <c r="N72" s="96"/>
      <c r="O72" s="6"/>
      <c r="P72" s="6"/>
      <c r="Q72" s="6"/>
      <c r="R72" s="6"/>
      <c r="S72" s="6"/>
      <c r="T72" s="6"/>
      <c r="U72" s="1"/>
    </row>
    <row r="73" spans="1:21">
      <c r="A73" s="214" t="s">
        <v>312</v>
      </c>
      <c r="B73" s="215">
        <v>213.75</v>
      </c>
      <c r="L73" s="97"/>
      <c r="M73" s="98"/>
      <c r="N73" s="96"/>
      <c r="O73" s="6"/>
      <c r="P73" s="6"/>
      <c r="Q73" s="6"/>
      <c r="R73" s="6"/>
      <c r="S73" s="6"/>
      <c r="T73" s="6"/>
      <c r="U73" s="1"/>
    </row>
    <row r="74" spans="1:21">
      <c r="A74" s="365" t="s">
        <v>7</v>
      </c>
      <c r="B74" s="215">
        <v>-560</v>
      </c>
      <c r="L74" s="97"/>
      <c r="M74" s="98"/>
      <c r="N74" s="96"/>
      <c r="O74" s="6"/>
      <c r="P74" s="6"/>
      <c r="Q74" s="6"/>
      <c r="R74" s="6"/>
      <c r="S74" s="6"/>
      <c r="T74" s="6"/>
      <c r="U74" s="1"/>
    </row>
    <row r="75" spans="1:21">
      <c r="A75" s="213" t="s">
        <v>1</v>
      </c>
      <c r="B75" s="215">
        <v>346.25</v>
      </c>
      <c r="L75" s="97"/>
      <c r="M75" s="98"/>
      <c r="N75" s="96"/>
      <c r="O75" s="6"/>
      <c r="P75" s="6"/>
      <c r="Q75" s="6"/>
      <c r="R75" s="6"/>
      <c r="S75" s="6"/>
      <c r="T75" s="6"/>
      <c r="U75" s="1"/>
    </row>
    <row r="76" spans="1:21">
      <c r="A76" s="213" t="s">
        <v>30</v>
      </c>
      <c r="B76" s="215">
        <v>-77.03</v>
      </c>
      <c r="L76" s="97"/>
      <c r="M76" s="98"/>
      <c r="N76" s="96"/>
      <c r="O76" s="6"/>
      <c r="P76" s="6"/>
      <c r="Q76" s="6"/>
      <c r="R76" s="6"/>
      <c r="S76" s="6"/>
      <c r="T76" s="6"/>
      <c r="U76" s="1"/>
    </row>
    <row r="77" spans="1:21">
      <c r="A77" s="213" t="s">
        <v>90</v>
      </c>
      <c r="B77" s="215">
        <v>22.32</v>
      </c>
      <c r="L77" s="53"/>
      <c r="M77" s="6"/>
      <c r="O77" s="6"/>
      <c r="P77" s="6"/>
      <c r="Q77" s="6"/>
      <c r="R77" s="6"/>
      <c r="S77" s="6"/>
      <c r="T77" s="6"/>
      <c r="U77" s="1"/>
    </row>
    <row r="78" spans="1:21">
      <c r="A78" s="369"/>
      <c r="B78" s="215">
        <v>54.71</v>
      </c>
      <c r="L78" s="53"/>
      <c r="M78" s="6"/>
      <c r="O78" s="6"/>
      <c r="P78" s="6"/>
      <c r="Q78" s="6"/>
      <c r="R78" s="6"/>
      <c r="S78" s="6"/>
      <c r="T78" s="6"/>
      <c r="U78" s="1"/>
    </row>
    <row r="79" spans="1:21" ht="19" thickBot="1">
      <c r="B79" s="277">
        <f>SUM(B73:B78)</f>
        <v>0</v>
      </c>
      <c r="L79" s="53"/>
      <c r="M79" s="6"/>
      <c r="O79" s="6"/>
      <c r="P79" s="6"/>
      <c r="Q79" s="6"/>
      <c r="R79" s="6"/>
      <c r="S79" s="6"/>
      <c r="T79" s="6"/>
      <c r="U79" s="1"/>
    </row>
    <row r="80" spans="1:21" ht="19" thickTop="1">
      <c r="L80" s="53"/>
      <c r="M80" s="6"/>
      <c r="O80" s="6"/>
      <c r="P80" s="6"/>
      <c r="Q80" s="6"/>
      <c r="R80" s="6"/>
      <c r="S80" s="6"/>
      <c r="T80" s="6"/>
      <c r="U80" s="1"/>
    </row>
    <row r="81" spans="12:21">
      <c r="L81" s="53"/>
      <c r="M81" s="6"/>
      <c r="O81" s="6"/>
      <c r="P81" s="6"/>
      <c r="Q81" s="6"/>
      <c r="R81" s="6"/>
      <c r="S81" s="6"/>
      <c r="T81" s="6"/>
      <c r="U81" s="1"/>
    </row>
    <row r="82" spans="12:21">
      <c r="L82" s="53"/>
      <c r="M82" s="6"/>
      <c r="O82" s="6"/>
      <c r="P82" s="6"/>
      <c r="Q82" s="6"/>
      <c r="R82" s="6"/>
      <c r="S82" s="6"/>
      <c r="T82" s="6"/>
      <c r="U82" s="1"/>
    </row>
    <row r="83" spans="12:21">
      <c r="L83" s="53"/>
      <c r="M83" s="6"/>
      <c r="O83" s="6"/>
      <c r="P83" s="6"/>
      <c r="Q83" s="6"/>
      <c r="R83" s="6"/>
      <c r="S83" s="6"/>
      <c r="T83" s="6"/>
      <c r="U83" s="1"/>
    </row>
    <row r="84" spans="12:21">
      <c r="L84" s="53"/>
      <c r="M84" s="6"/>
      <c r="O84" s="6"/>
      <c r="P84" s="6"/>
      <c r="Q84" s="6"/>
      <c r="R84" s="6"/>
      <c r="S84" s="6"/>
      <c r="T84" s="6"/>
      <c r="U84" s="1"/>
    </row>
    <row r="85" spans="12:21">
      <c r="L85" s="53"/>
      <c r="M85" s="6"/>
      <c r="O85" s="6"/>
      <c r="P85" s="6"/>
      <c r="Q85" s="6"/>
      <c r="R85" s="6"/>
      <c r="S85" s="6"/>
      <c r="T85" s="6"/>
      <c r="U85" s="1"/>
    </row>
    <row r="86" spans="12:21">
      <c r="L86" s="53"/>
      <c r="M86" s="6"/>
      <c r="O86" s="6"/>
      <c r="P86" s="6"/>
      <c r="Q86" s="6"/>
      <c r="R86" s="6"/>
      <c r="S86" s="6"/>
      <c r="T86" s="6"/>
      <c r="U86" s="1"/>
    </row>
    <row r="87" spans="12:21">
      <c r="L87" s="53"/>
      <c r="M87" s="6"/>
      <c r="O87" s="6"/>
      <c r="P87" s="6"/>
      <c r="Q87" s="6"/>
      <c r="R87" s="6"/>
      <c r="S87" s="6"/>
      <c r="T87" s="6"/>
      <c r="U87" s="1"/>
    </row>
    <row r="88" spans="12:21">
      <c r="L88" s="53"/>
      <c r="M88" s="6"/>
      <c r="O88" s="6"/>
      <c r="P88" s="6"/>
      <c r="Q88" s="6"/>
      <c r="R88" s="6"/>
      <c r="S88" s="6"/>
      <c r="T88" s="6"/>
      <c r="U88" s="1"/>
    </row>
    <row r="89" spans="12:21">
      <c r="L89" s="53"/>
      <c r="M89" s="6"/>
      <c r="O89" s="6"/>
      <c r="P89" s="6"/>
      <c r="Q89" s="6"/>
      <c r="R89" s="6"/>
      <c r="S89" s="6"/>
      <c r="T89" s="6"/>
      <c r="U89" s="1"/>
    </row>
    <row r="90" spans="12:21">
      <c r="L90" s="53"/>
      <c r="M90" s="6"/>
      <c r="O90" s="6"/>
      <c r="P90" s="6"/>
      <c r="Q90" s="6"/>
      <c r="R90" s="6"/>
      <c r="S90" s="6"/>
      <c r="T90" s="6"/>
      <c r="U90" s="1"/>
    </row>
    <row r="91" spans="12:21">
      <c r="L91" s="53"/>
      <c r="M91" s="6"/>
      <c r="O91" s="6"/>
      <c r="P91" s="6"/>
      <c r="Q91" s="6"/>
      <c r="R91" s="6"/>
      <c r="S91" s="6"/>
      <c r="T91" s="6"/>
      <c r="U91" s="1"/>
    </row>
    <row r="92" spans="12:21">
      <c r="L92" s="53"/>
      <c r="M92" s="6"/>
      <c r="O92" s="6"/>
      <c r="P92" s="6"/>
      <c r="Q92" s="6"/>
      <c r="R92" s="6"/>
      <c r="S92" s="6"/>
      <c r="T92" s="6"/>
      <c r="U92" s="1"/>
    </row>
    <row r="93" spans="12:21">
      <c r="L93" s="53"/>
      <c r="M93" s="6"/>
      <c r="O93" s="6"/>
      <c r="P93" s="6"/>
      <c r="Q93" s="6"/>
      <c r="R93" s="6"/>
      <c r="S93" s="6"/>
      <c r="T93" s="6"/>
      <c r="U93" s="1"/>
    </row>
    <row r="94" spans="12:21">
      <c r="L94" s="53"/>
      <c r="M94" s="6"/>
      <c r="O94" s="6"/>
      <c r="P94" s="6"/>
      <c r="Q94" s="6"/>
      <c r="R94" s="6"/>
      <c r="S94" s="6"/>
      <c r="T94" s="6"/>
      <c r="U94" s="1"/>
    </row>
    <row r="95" spans="12:21">
      <c r="L95" s="53"/>
      <c r="M95" s="6"/>
      <c r="O95" s="6"/>
      <c r="P95" s="6"/>
      <c r="Q95" s="6"/>
      <c r="R95" s="6"/>
      <c r="S95" s="6"/>
      <c r="T95" s="6"/>
      <c r="U95" s="1"/>
    </row>
    <row r="96" spans="12:21">
      <c r="L96" s="53"/>
      <c r="M96" s="6"/>
      <c r="O96" s="6"/>
      <c r="P96" s="6"/>
      <c r="Q96" s="6"/>
      <c r="R96" s="6"/>
      <c r="S96" s="6"/>
      <c r="T96" s="6"/>
      <c r="U96" s="1"/>
    </row>
    <row r="97" spans="12:21">
      <c r="L97" s="53"/>
      <c r="M97" s="6"/>
      <c r="O97" s="6"/>
      <c r="P97" s="6"/>
      <c r="Q97" s="6"/>
      <c r="R97" s="6"/>
      <c r="S97" s="6"/>
      <c r="T97" s="6"/>
      <c r="U97" s="1"/>
    </row>
    <row r="98" spans="12:21">
      <c r="L98" s="53"/>
      <c r="M98" s="6"/>
      <c r="O98" s="6"/>
      <c r="P98" s="6"/>
      <c r="Q98" s="6"/>
      <c r="R98" s="6"/>
      <c r="S98" s="6"/>
      <c r="T98" s="6"/>
      <c r="U98" s="1"/>
    </row>
    <row r="99" spans="12:21">
      <c r="L99" s="53"/>
      <c r="M99" s="6"/>
      <c r="O99" s="6"/>
      <c r="P99" s="6"/>
      <c r="Q99" s="6"/>
      <c r="R99" s="6"/>
      <c r="S99" s="6"/>
      <c r="T99" s="6"/>
      <c r="U99" s="1"/>
    </row>
    <row r="100" spans="12:21">
      <c r="L100" s="53"/>
      <c r="M100" s="6"/>
      <c r="O100" s="6"/>
      <c r="P100" s="6"/>
      <c r="Q100" s="6"/>
      <c r="R100" s="6"/>
      <c r="S100" s="6"/>
      <c r="T100" s="6"/>
      <c r="U100" s="1"/>
    </row>
    <row r="101" spans="12:21">
      <c r="L101" s="53"/>
      <c r="M101" s="6"/>
      <c r="O101" s="6"/>
      <c r="P101" s="6"/>
      <c r="Q101" s="6"/>
      <c r="R101" s="6"/>
      <c r="S101" s="6"/>
      <c r="T101" s="6"/>
      <c r="U101" s="1"/>
    </row>
    <row r="102" spans="12:21">
      <c r="L102" s="53"/>
      <c r="M102" s="6"/>
      <c r="O102" s="6"/>
      <c r="P102" s="6"/>
      <c r="Q102" s="6"/>
      <c r="R102" s="6"/>
      <c r="S102" s="6"/>
      <c r="T102" s="6"/>
      <c r="U102" s="1"/>
    </row>
    <row r="103" spans="12:21">
      <c r="L103" s="53"/>
      <c r="M103" s="6"/>
      <c r="O103" s="6"/>
      <c r="P103" s="6"/>
      <c r="Q103" s="6"/>
      <c r="R103" s="6"/>
      <c r="S103" s="6"/>
      <c r="T103" s="6"/>
      <c r="U103" s="1"/>
    </row>
    <row r="104" spans="12:21">
      <c r="L104" s="53"/>
      <c r="M104" s="6"/>
      <c r="O104" s="6"/>
      <c r="P104" s="6"/>
      <c r="Q104" s="6"/>
      <c r="R104" s="6"/>
      <c r="S104" s="6"/>
      <c r="T104" s="6"/>
      <c r="U104" s="1"/>
    </row>
    <row r="105" spans="12:21">
      <c r="L105" s="53"/>
      <c r="M105" s="6"/>
      <c r="O105" s="6"/>
      <c r="P105" s="6"/>
      <c r="Q105" s="6"/>
      <c r="R105" s="6"/>
      <c r="S105" s="6"/>
      <c r="T105" s="6"/>
      <c r="U105" s="1"/>
    </row>
    <row r="106" spans="12:21">
      <c r="L106" s="53"/>
      <c r="M106" s="6"/>
      <c r="O106" s="6"/>
      <c r="P106" s="6"/>
      <c r="Q106" s="6"/>
      <c r="R106" s="6"/>
      <c r="S106" s="6"/>
      <c r="T106" s="6"/>
      <c r="U106" s="1"/>
    </row>
    <row r="107" spans="12:21">
      <c r="L107" s="53"/>
      <c r="M107" s="6"/>
      <c r="O107" s="6"/>
      <c r="P107" s="6"/>
      <c r="Q107" s="6"/>
      <c r="R107" s="6"/>
      <c r="S107" s="6"/>
      <c r="T107" s="6"/>
      <c r="U107" s="1"/>
    </row>
    <row r="108" spans="12:21">
      <c r="L108" s="53"/>
      <c r="M108" s="6"/>
      <c r="O108" s="6"/>
      <c r="P108" s="6"/>
      <c r="Q108" s="6"/>
      <c r="R108" s="6"/>
      <c r="S108" s="6"/>
      <c r="T108" s="6"/>
      <c r="U108" s="1"/>
    </row>
    <row r="109" spans="12:21">
      <c r="L109" s="53"/>
      <c r="M109" s="6"/>
      <c r="O109" s="6"/>
      <c r="P109" s="6"/>
      <c r="Q109" s="6"/>
      <c r="R109" s="6"/>
      <c r="S109" s="6"/>
      <c r="T109" s="6"/>
      <c r="U109" s="1"/>
    </row>
    <row r="110" spans="12:21">
      <c r="L110" s="53"/>
      <c r="M110" s="6"/>
      <c r="O110" s="6"/>
      <c r="P110" s="6"/>
      <c r="Q110" s="6"/>
      <c r="R110" s="6"/>
      <c r="S110" s="6"/>
      <c r="T110" s="6"/>
      <c r="U110" s="1"/>
    </row>
  </sheetData>
  <customSheetViews>
    <customSheetView guid="{D77C52FB-56C3-AF47-AD29-EE07F130855B}" scale="130" showPageBreaks="1" fitToPage="1" printArea="1" hiddenColumns="1" topLeftCell="A33">
      <selection activeCell="E42" sqref="E42"/>
      <pageMargins left="0.31" right="0.24" top="0.98" bottom="0.98" header="0.51" footer="0.51"/>
      <pageSetup paperSize="9" scale="66" orientation="landscape" copies="8" r:id="rId1"/>
      <headerFooter alignWithMargins="0"/>
    </customSheetView>
  </customSheetViews>
  <mergeCells count="1">
    <mergeCell ref="G54:G61"/>
  </mergeCells>
  <phoneticPr fontId="27" type="noConversion"/>
  <pageMargins left="0.7" right="0.7" top="0.75" bottom="0.75" header="0.3" footer="0.3"/>
  <pageSetup paperSize="9" scale="67" fitToHeight="2" orientation="portrait" copies="3" r:id="rId2"/>
  <ignoredErrors>
    <ignoredError sqref="E11 E8 E59 I8" formula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XFA187"/>
  <sheetViews>
    <sheetView topLeftCell="A43" zoomScale="125" zoomScaleNormal="152" zoomScalePageLayoutView="120" workbookViewId="0">
      <selection activeCell="B53" sqref="B53"/>
    </sheetView>
  </sheetViews>
  <sheetFormatPr baseColWidth="10" defaultColWidth="15.33203125" defaultRowHeight="16"/>
  <cols>
    <col min="1" max="4" width="15.33203125" style="165"/>
    <col min="5" max="5" width="20.33203125" style="165" customWidth="1"/>
    <col min="6" max="6" width="25.1640625" style="165" bestFit="1" customWidth="1"/>
    <col min="7" max="9" width="15.33203125" style="165"/>
    <col min="10" max="10" width="15.33203125" style="167"/>
    <col min="11" max="12" width="15.33203125" style="165"/>
    <col min="13" max="14" width="15.33203125" style="179"/>
    <col min="15" max="16384" width="15.33203125" style="165"/>
  </cols>
  <sheetData>
    <row r="1" spans="1:42">
      <c r="A1" s="356" t="s">
        <v>309</v>
      </c>
      <c r="B1" s="357"/>
      <c r="C1" s="358"/>
      <c r="D1" s="359"/>
      <c r="F1" s="337"/>
      <c r="G1" s="337"/>
      <c r="J1" s="166" t="s">
        <v>8</v>
      </c>
      <c r="M1" s="165"/>
      <c r="N1" s="165"/>
    </row>
    <row r="2" spans="1:42">
      <c r="A2" s="360"/>
      <c r="B2" s="51"/>
      <c r="M2" s="165"/>
      <c r="N2" s="165"/>
    </row>
    <row r="3" spans="1:42">
      <c r="A3" s="51" t="s">
        <v>15</v>
      </c>
      <c r="B3" s="51"/>
      <c r="M3" s="165"/>
      <c r="N3" s="165"/>
    </row>
    <row r="4" spans="1:42" s="51" customFormat="1" ht="31" customHeight="1">
      <c r="A4" s="55" t="s">
        <v>69</v>
      </c>
      <c r="B4" s="55" t="s">
        <v>16</v>
      </c>
      <c r="C4" s="55" t="s">
        <v>59</v>
      </c>
      <c r="D4" s="55" t="s">
        <v>70</v>
      </c>
      <c r="E4" s="55" t="s">
        <v>20</v>
      </c>
      <c r="F4" s="106" t="s">
        <v>18</v>
      </c>
      <c r="G4" s="103" t="s">
        <v>4</v>
      </c>
      <c r="H4" s="103" t="s">
        <v>57</v>
      </c>
      <c r="I4" s="106" t="s">
        <v>351</v>
      </c>
      <c r="J4" s="106" t="s">
        <v>347</v>
      </c>
    </row>
    <row r="5" spans="1:42" s="353" customFormat="1">
      <c r="A5" s="348" t="s">
        <v>225</v>
      </c>
      <c r="B5" s="348"/>
      <c r="C5" s="348" t="s">
        <v>26</v>
      </c>
      <c r="D5" s="349">
        <v>1</v>
      </c>
      <c r="E5" s="350">
        <f>SUM(F5:I5)</f>
        <v>11593.01</v>
      </c>
      <c r="F5" s="351"/>
      <c r="G5" s="352">
        <v>11593.01</v>
      </c>
      <c r="H5" s="351"/>
      <c r="I5" s="351"/>
      <c r="J5" s="351"/>
    </row>
    <row r="6" spans="1:42" s="353" customFormat="1">
      <c r="A6" s="348" t="s">
        <v>226</v>
      </c>
      <c r="B6" s="348"/>
      <c r="C6" s="348" t="s">
        <v>224</v>
      </c>
      <c r="D6" s="349">
        <v>2</v>
      </c>
      <c r="E6" s="350">
        <f>SUM(F6:I6)</f>
        <v>40</v>
      </c>
      <c r="F6" s="351"/>
      <c r="G6" s="352"/>
      <c r="H6" s="351"/>
      <c r="I6" s="351">
        <v>40</v>
      </c>
      <c r="J6" s="397" t="s">
        <v>8</v>
      </c>
    </row>
    <row r="7" spans="1:42" s="353" customFormat="1">
      <c r="A7" s="348" t="s">
        <v>227</v>
      </c>
      <c r="B7" s="348"/>
      <c r="C7" s="348" t="s">
        <v>26</v>
      </c>
      <c r="D7" s="349">
        <v>3</v>
      </c>
      <c r="E7" s="350">
        <f t="shared" ref="E7:E8" si="0">SUM(F7:I7)</f>
        <v>7161.11</v>
      </c>
      <c r="F7" s="351"/>
      <c r="G7" s="352"/>
      <c r="H7" s="351">
        <v>7161.11</v>
      </c>
      <c r="I7" s="351"/>
      <c r="J7" s="351"/>
    </row>
    <row r="8" spans="1:42" s="375" customFormat="1">
      <c r="A8" s="371" t="s">
        <v>300</v>
      </c>
      <c r="B8" s="371"/>
      <c r="C8" s="371" t="s">
        <v>60</v>
      </c>
      <c r="D8" s="396">
        <v>4</v>
      </c>
      <c r="E8" s="372">
        <f t="shared" si="0"/>
        <v>926.12</v>
      </c>
      <c r="F8" s="373">
        <v>926.12</v>
      </c>
      <c r="G8" s="374"/>
      <c r="H8" s="373"/>
      <c r="I8" s="373"/>
      <c r="J8" s="373"/>
    </row>
    <row r="9" spans="1:42" s="443" customFormat="1">
      <c r="A9" s="431" t="s">
        <v>346</v>
      </c>
      <c r="B9" s="431"/>
      <c r="C9" s="431" t="s">
        <v>26</v>
      </c>
      <c r="D9" s="444">
        <v>5</v>
      </c>
      <c r="E9" s="440">
        <f>J9</f>
        <v>200</v>
      </c>
      <c r="F9" s="441"/>
      <c r="G9" s="442"/>
      <c r="H9" s="441"/>
      <c r="I9" s="441"/>
      <c r="J9" s="441">
        <v>200</v>
      </c>
    </row>
    <row r="10" spans="1:42" s="460" customFormat="1">
      <c r="A10" s="448" t="s">
        <v>357</v>
      </c>
      <c r="B10" s="448"/>
      <c r="C10" s="448" t="s">
        <v>26</v>
      </c>
      <c r="D10" s="461">
        <v>6</v>
      </c>
      <c r="E10" s="457">
        <v>11593</v>
      </c>
      <c r="F10" s="458"/>
      <c r="G10" s="459">
        <f>E10</f>
        <v>11593</v>
      </c>
      <c r="H10" s="458"/>
      <c r="I10" s="458"/>
      <c r="J10" s="458"/>
    </row>
    <row r="11" spans="1:42" s="337" customFormat="1">
      <c r="A11" s="354" t="s">
        <v>365</v>
      </c>
      <c r="B11" s="354"/>
      <c r="C11" s="354" t="s">
        <v>26</v>
      </c>
      <c r="D11" s="445">
        <v>7</v>
      </c>
      <c r="E11" s="437">
        <v>4831.58</v>
      </c>
      <c r="F11" s="438"/>
      <c r="G11" s="439"/>
      <c r="H11" s="438">
        <f>E11</f>
        <v>4831.58</v>
      </c>
      <c r="I11" s="438"/>
      <c r="J11" s="438"/>
    </row>
    <row r="12" spans="1:42" ht="17" thickBot="1">
      <c r="A12" s="151"/>
      <c r="B12" s="151"/>
      <c r="C12" s="151"/>
      <c r="D12" s="151"/>
      <c r="E12" s="168">
        <f>SUM(E5:E11)</f>
        <v>36344.82</v>
      </c>
      <c r="F12" s="168">
        <f t="shared" ref="F12:J12" si="1">SUM(F5:F11)</f>
        <v>926.12</v>
      </c>
      <c r="G12" s="168">
        <f t="shared" si="1"/>
        <v>23186.010000000002</v>
      </c>
      <c r="H12" s="168">
        <f t="shared" si="1"/>
        <v>11992.689999999999</v>
      </c>
      <c r="I12" s="168">
        <f t="shared" si="1"/>
        <v>40</v>
      </c>
      <c r="J12" s="168">
        <f t="shared" si="1"/>
        <v>200</v>
      </c>
      <c r="M12" s="165"/>
      <c r="N12" s="165"/>
    </row>
    <row r="13" spans="1:42" ht="17" thickTop="1">
      <c r="E13" s="399" t="s">
        <v>8</v>
      </c>
      <c r="M13" s="165"/>
      <c r="N13" s="165"/>
    </row>
    <row r="14" spans="1:42">
      <c r="A14" s="51" t="s">
        <v>71</v>
      </c>
      <c r="E14" s="398" t="s">
        <v>8</v>
      </c>
      <c r="M14" s="165"/>
      <c r="N14" s="165"/>
    </row>
    <row r="15" spans="1:42" ht="50" customHeight="1">
      <c r="A15" s="169" t="s">
        <v>50</v>
      </c>
      <c r="B15" s="170" t="s">
        <v>72</v>
      </c>
      <c r="C15" s="171" t="s">
        <v>28</v>
      </c>
      <c r="D15" s="171" t="s">
        <v>16</v>
      </c>
      <c r="E15" s="171" t="s">
        <v>6</v>
      </c>
      <c r="F15" s="171" t="s">
        <v>58</v>
      </c>
      <c r="G15" s="169" t="s">
        <v>51</v>
      </c>
      <c r="H15" s="172" t="s">
        <v>73</v>
      </c>
      <c r="I15" s="501" t="s">
        <v>395</v>
      </c>
      <c r="J15" s="173" t="s">
        <v>17</v>
      </c>
      <c r="K15" s="171" t="s">
        <v>18</v>
      </c>
      <c r="L15" s="173" t="s">
        <v>19</v>
      </c>
      <c r="M15" s="160" t="s">
        <v>27</v>
      </c>
      <c r="N15" s="154" t="s">
        <v>1</v>
      </c>
      <c r="O15" s="414" t="s">
        <v>312</v>
      </c>
      <c r="P15" s="151" t="s">
        <v>81</v>
      </c>
      <c r="Q15" s="151" t="s">
        <v>82</v>
      </c>
      <c r="R15" s="154" t="s">
        <v>83</v>
      </c>
      <c r="S15" s="154" t="s">
        <v>84</v>
      </c>
      <c r="T15" s="160" t="s">
        <v>85</v>
      </c>
      <c r="U15" s="206" t="s">
        <v>143</v>
      </c>
      <c r="V15" s="151" t="s">
        <v>12</v>
      </c>
      <c r="W15" s="151" t="s">
        <v>87</v>
      </c>
      <c r="X15" s="154" t="s">
        <v>88</v>
      </c>
      <c r="Y15" s="414" t="s">
        <v>352</v>
      </c>
      <c r="Z15" s="154" t="s">
        <v>101</v>
      </c>
      <c r="AA15" s="192" t="s">
        <v>133</v>
      </c>
      <c r="AB15" s="151" t="s">
        <v>0</v>
      </c>
      <c r="AC15" s="271" t="s">
        <v>235</v>
      </c>
      <c r="AD15" s="151" t="s">
        <v>89</v>
      </c>
      <c r="AE15" s="151" t="s">
        <v>90</v>
      </c>
      <c r="AF15" s="151" t="s">
        <v>7</v>
      </c>
      <c r="AG15" s="151" t="s">
        <v>91</v>
      </c>
      <c r="AH15" s="151" t="s">
        <v>96</v>
      </c>
      <c r="AI15" s="151" t="s">
        <v>92</v>
      </c>
      <c r="AJ15" s="151" t="s">
        <v>93</v>
      </c>
      <c r="AK15" s="151" t="s">
        <v>53</v>
      </c>
      <c r="AL15" s="151" t="s">
        <v>94</v>
      </c>
      <c r="AM15" s="151" t="s">
        <v>30</v>
      </c>
      <c r="AN15" s="395" t="s">
        <v>353</v>
      </c>
      <c r="AO15" s="151" t="s">
        <v>2</v>
      </c>
    </row>
    <row r="16" spans="1:42" ht="17">
      <c r="A16" s="263" t="s">
        <v>102</v>
      </c>
      <c r="B16" s="264" t="s">
        <v>228</v>
      </c>
      <c r="C16" s="262" t="s">
        <v>102</v>
      </c>
      <c r="D16" s="262" t="s">
        <v>245</v>
      </c>
      <c r="E16" s="261"/>
      <c r="F16" s="364" t="s">
        <v>310</v>
      </c>
      <c r="G16" s="160">
        <v>1</v>
      </c>
      <c r="H16" s="269" t="s">
        <v>102</v>
      </c>
      <c r="I16" s="502"/>
      <c r="J16" s="434">
        <v>582</v>
      </c>
      <c r="K16" s="162">
        <v>0</v>
      </c>
      <c r="L16" s="161">
        <f>J16</f>
        <v>582</v>
      </c>
      <c r="M16" s="265"/>
      <c r="N16" s="155"/>
      <c r="O16" s="155"/>
      <c r="P16" s="266"/>
      <c r="Q16" s="266"/>
      <c r="R16" s="155"/>
      <c r="S16" s="155"/>
      <c r="T16" s="265"/>
      <c r="U16" s="267"/>
      <c r="V16" s="266"/>
      <c r="W16" s="266"/>
      <c r="X16" s="155"/>
      <c r="Y16" s="155"/>
      <c r="Z16" s="155"/>
      <c r="AA16" s="268"/>
      <c r="AB16" s="266"/>
      <c r="AC16" s="266"/>
      <c r="AD16" s="266"/>
      <c r="AE16" s="266"/>
      <c r="AF16" s="266"/>
      <c r="AG16" s="266">
        <v>24</v>
      </c>
      <c r="AH16" s="266"/>
      <c r="AI16" s="266"/>
      <c r="AJ16" s="266">
        <v>558</v>
      </c>
      <c r="AK16" s="266"/>
      <c r="AL16" s="266"/>
      <c r="AM16" s="266"/>
      <c r="AN16" s="266"/>
      <c r="AO16" s="266"/>
      <c r="AP16" s="181" t="b">
        <f t="shared" ref="AP16:AP25" si="2">SUM(M16:AO16)=L16</f>
        <v>1</v>
      </c>
    </row>
    <row r="17" spans="1:42 16381:16381" s="163" customFormat="1" ht="15" customHeight="1">
      <c r="A17" s="263" t="s">
        <v>102</v>
      </c>
      <c r="B17" s="264" t="s">
        <v>228</v>
      </c>
      <c r="C17" s="274" t="s">
        <v>102</v>
      </c>
      <c r="D17" s="262" t="s">
        <v>250</v>
      </c>
      <c r="E17" s="159"/>
      <c r="F17" s="263" t="s">
        <v>60</v>
      </c>
      <c r="G17" s="160">
        <v>2</v>
      </c>
      <c r="H17" s="269" t="s">
        <v>102</v>
      </c>
      <c r="I17" s="502"/>
      <c r="J17" s="161">
        <v>53.74</v>
      </c>
      <c r="K17" s="162">
        <v>0</v>
      </c>
      <c r="L17" s="161">
        <f>J17</f>
        <v>53.74</v>
      </c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>
        <v>53.74</v>
      </c>
      <c r="AK17" s="155"/>
      <c r="AL17" s="155"/>
      <c r="AM17" s="155"/>
      <c r="AN17" s="155"/>
      <c r="AO17" s="155"/>
      <c r="AP17" s="181" t="b">
        <f t="shared" si="2"/>
        <v>1</v>
      </c>
      <c r="XFA17" s="181"/>
    </row>
    <row r="18" spans="1:42 16381:16381" s="163" customFormat="1" ht="15" customHeight="1">
      <c r="A18" s="263" t="s">
        <v>15</v>
      </c>
      <c r="B18" s="264" t="s">
        <v>228</v>
      </c>
      <c r="C18" s="264" t="s">
        <v>102</v>
      </c>
      <c r="D18" s="262" t="s">
        <v>249</v>
      </c>
      <c r="E18" s="159"/>
      <c r="F18" s="263" t="s">
        <v>231</v>
      </c>
      <c r="G18" s="160">
        <v>3</v>
      </c>
      <c r="H18" s="269" t="s">
        <v>102</v>
      </c>
      <c r="I18" s="502"/>
      <c r="J18" s="161">
        <v>62.54</v>
      </c>
      <c r="K18" s="162">
        <v>0</v>
      </c>
      <c r="L18" s="161">
        <f>J18</f>
        <v>62.54</v>
      </c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>
        <f>L18</f>
        <v>62.54</v>
      </c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81" t="b">
        <f t="shared" si="2"/>
        <v>1</v>
      </c>
      <c r="XFA18" s="181"/>
    </row>
    <row r="19" spans="1:42 16381:16381" s="163" customFormat="1" ht="15" customHeight="1">
      <c r="A19" s="263" t="s">
        <v>236</v>
      </c>
      <c r="B19" s="264" t="s">
        <v>228</v>
      </c>
      <c r="C19" s="164">
        <v>900</v>
      </c>
      <c r="D19" s="262" t="s">
        <v>248</v>
      </c>
      <c r="E19" s="159"/>
      <c r="F19" s="263" t="s">
        <v>234</v>
      </c>
      <c r="G19" s="160">
        <v>4</v>
      </c>
      <c r="H19" s="151">
        <v>208023744</v>
      </c>
      <c r="I19" s="503"/>
      <c r="J19" s="161">
        <v>241.5</v>
      </c>
      <c r="K19" s="162">
        <v>40.25</v>
      </c>
      <c r="L19" s="161">
        <f>J19-K19</f>
        <v>201.25</v>
      </c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>
        <f>201.25</f>
        <v>201.25</v>
      </c>
      <c r="AD19" s="155"/>
      <c r="AE19" s="155"/>
      <c r="AF19" s="155"/>
      <c r="AG19" s="158"/>
      <c r="AH19" s="155"/>
      <c r="AI19" s="155"/>
      <c r="AJ19" s="155"/>
      <c r="AK19" s="155"/>
      <c r="AL19" s="155"/>
      <c r="AM19" s="155"/>
      <c r="AN19" s="155"/>
      <c r="AO19" s="155"/>
      <c r="AP19" s="181" t="b">
        <f t="shared" si="2"/>
        <v>1</v>
      </c>
      <c r="XFA19" s="181"/>
    </row>
    <row r="20" spans="1:42 16381:16381" s="163" customFormat="1" ht="15" customHeight="1">
      <c r="A20" s="263" t="s">
        <v>238</v>
      </c>
      <c r="B20" s="264" t="s">
        <v>228</v>
      </c>
      <c r="C20" s="264">
        <v>3960</v>
      </c>
      <c r="D20" s="262" t="s">
        <v>247</v>
      </c>
      <c r="E20" s="159"/>
      <c r="F20" s="263" t="s">
        <v>237</v>
      </c>
      <c r="G20" s="160">
        <v>5</v>
      </c>
      <c r="H20" s="156">
        <v>510056502</v>
      </c>
      <c r="I20" s="504"/>
      <c r="J20" s="161">
        <v>289.2</v>
      </c>
      <c r="K20" s="162">
        <v>48.2</v>
      </c>
      <c r="L20" s="161">
        <v>241</v>
      </c>
      <c r="M20" s="155"/>
      <c r="N20" s="155"/>
      <c r="O20" s="155"/>
      <c r="P20" s="155"/>
      <c r="Q20" s="155"/>
      <c r="R20" s="155">
        <f>L20</f>
        <v>241</v>
      </c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81" t="b">
        <f t="shared" si="2"/>
        <v>1</v>
      </c>
      <c r="XFA20" s="181"/>
    </row>
    <row r="21" spans="1:42 16381:16381" s="163" customFormat="1" ht="15" customHeight="1">
      <c r="A21" s="263" t="s">
        <v>239</v>
      </c>
      <c r="B21" s="264" t="s">
        <v>228</v>
      </c>
      <c r="C21" s="264" t="s">
        <v>240</v>
      </c>
      <c r="D21" s="262" t="s">
        <v>246</v>
      </c>
      <c r="E21" s="154"/>
      <c r="F21" s="263" t="s">
        <v>241</v>
      </c>
      <c r="G21" s="160">
        <v>6</v>
      </c>
      <c r="H21" s="269" t="s">
        <v>102</v>
      </c>
      <c r="I21" s="502"/>
      <c r="J21" s="161">
        <v>120</v>
      </c>
      <c r="K21" s="162">
        <v>0</v>
      </c>
      <c r="L21" s="161">
        <v>120</v>
      </c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>
        <v>120</v>
      </c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81" t="b">
        <f t="shared" si="2"/>
        <v>1</v>
      </c>
      <c r="XFA21" s="181"/>
    </row>
    <row r="22" spans="1:42 16381:16381" s="163" customFormat="1" ht="15" customHeight="1">
      <c r="A22" s="263" t="s">
        <v>236</v>
      </c>
      <c r="B22" s="264" t="s">
        <v>228</v>
      </c>
      <c r="C22" s="164">
        <v>1557</v>
      </c>
      <c r="D22" s="48" t="s">
        <v>251</v>
      </c>
      <c r="E22" s="154"/>
      <c r="F22" s="263" t="s">
        <v>242</v>
      </c>
      <c r="G22" s="160">
        <v>7</v>
      </c>
      <c r="H22" s="156">
        <v>191744880</v>
      </c>
      <c r="I22" s="504"/>
      <c r="J22" s="161">
        <v>60</v>
      </c>
      <c r="K22" s="162">
        <v>10</v>
      </c>
      <c r="L22" s="161">
        <v>50</v>
      </c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>
        <f>50</f>
        <v>50</v>
      </c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81" t="b">
        <f t="shared" si="2"/>
        <v>1</v>
      </c>
      <c r="XFA22" s="181"/>
    </row>
    <row r="23" spans="1:42 16381:16381" ht="17">
      <c r="A23" s="262" t="s">
        <v>230</v>
      </c>
      <c r="B23" s="264" t="s">
        <v>228</v>
      </c>
      <c r="C23" s="270">
        <v>2254837</v>
      </c>
      <c r="D23" s="48" t="s">
        <v>252</v>
      </c>
      <c r="E23" s="151"/>
      <c r="F23" s="263" t="s">
        <v>229</v>
      </c>
      <c r="G23" s="160">
        <v>8</v>
      </c>
      <c r="H23" s="151">
        <v>536153357</v>
      </c>
      <c r="I23" s="503"/>
      <c r="J23" s="161">
        <v>106.73</v>
      </c>
      <c r="K23" s="162">
        <v>17.79</v>
      </c>
      <c r="L23" s="177">
        <f>J23-K23</f>
        <v>88.94</v>
      </c>
      <c r="M23" s="180"/>
      <c r="N23" s="155"/>
      <c r="O23" s="155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>
        <v>88.94</v>
      </c>
      <c r="AL23" s="180"/>
      <c r="AM23" s="180"/>
      <c r="AN23" s="180"/>
      <c r="AO23" s="180"/>
      <c r="AP23" s="181" t="b">
        <f t="shared" si="2"/>
        <v>1</v>
      </c>
    </row>
    <row r="24" spans="1:42 16381:16381" s="163" customFormat="1" ht="17">
      <c r="A24" s="263" t="s">
        <v>233</v>
      </c>
      <c r="B24" s="264" t="s">
        <v>228</v>
      </c>
      <c r="C24" s="164">
        <v>14584</v>
      </c>
      <c r="D24" s="48" t="s">
        <v>253</v>
      </c>
      <c r="E24" s="154"/>
      <c r="F24" s="263" t="s">
        <v>232</v>
      </c>
      <c r="G24" s="160">
        <v>9</v>
      </c>
      <c r="H24" s="156">
        <v>775395874</v>
      </c>
      <c r="I24" s="504"/>
      <c r="J24" s="161">
        <v>109.8</v>
      </c>
      <c r="K24" s="162">
        <v>18.3</v>
      </c>
      <c r="L24" s="161">
        <f>J24-K24</f>
        <v>91.5</v>
      </c>
      <c r="M24" s="155"/>
      <c r="N24" s="155"/>
      <c r="O24" s="155"/>
      <c r="P24" s="155"/>
      <c r="Q24" s="155"/>
      <c r="R24" s="155">
        <v>91.5</v>
      </c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81" t="b">
        <f t="shared" si="2"/>
        <v>1</v>
      </c>
      <c r="XFA24" s="181"/>
    </row>
    <row r="25" spans="1:42 16381:16381" s="163" customFormat="1" ht="17">
      <c r="A25" s="272" t="s">
        <v>244</v>
      </c>
      <c r="B25" s="264" t="s">
        <v>228</v>
      </c>
      <c r="C25" s="204">
        <v>26918</v>
      </c>
      <c r="D25" s="139" t="s">
        <v>254</v>
      </c>
      <c r="E25" s="157"/>
      <c r="F25" s="272" t="s">
        <v>243</v>
      </c>
      <c r="G25" s="160">
        <v>10</v>
      </c>
      <c r="H25" s="273" t="s">
        <v>102</v>
      </c>
      <c r="I25" s="505"/>
      <c r="J25" s="174">
        <v>317.97000000000003</v>
      </c>
      <c r="K25" s="175">
        <v>0</v>
      </c>
      <c r="L25" s="174">
        <f>J25</f>
        <v>317.97000000000003</v>
      </c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>
        <f>L25</f>
        <v>317.97000000000003</v>
      </c>
      <c r="AN25" s="176"/>
      <c r="AO25" s="176"/>
      <c r="AP25" s="181" t="b">
        <f t="shared" si="2"/>
        <v>1</v>
      </c>
      <c r="XFA25" s="181"/>
    </row>
    <row r="26" spans="1:42 16381:16381" s="347" customFormat="1" ht="51">
      <c r="A26" s="338" t="s">
        <v>102</v>
      </c>
      <c r="B26" s="339" t="s">
        <v>324</v>
      </c>
      <c r="C26" s="339" t="s">
        <v>102</v>
      </c>
      <c r="D26" s="340" t="s">
        <v>328</v>
      </c>
      <c r="E26" s="341" t="s">
        <v>284</v>
      </c>
      <c r="F26" s="338" t="s">
        <v>25</v>
      </c>
      <c r="G26" s="160">
        <v>11</v>
      </c>
      <c r="H26" s="342" t="s">
        <v>102</v>
      </c>
      <c r="I26" s="506"/>
      <c r="J26" s="412">
        <v>616.25</v>
      </c>
      <c r="K26" s="344">
        <v>0</v>
      </c>
      <c r="L26" s="343">
        <f>J26</f>
        <v>616.25</v>
      </c>
      <c r="M26" s="345"/>
      <c r="N26" s="345"/>
      <c r="O26" s="345"/>
      <c r="P26" s="345"/>
      <c r="Q26" s="345"/>
      <c r="R26" s="345"/>
      <c r="S26" s="345"/>
      <c r="T26" s="345"/>
      <c r="U26" s="345"/>
      <c r="V26" s="345"/>
      <c r="W26" s="345"/>
      <c r="X26" s="345"/>
      <c r="Y26" s="345"/>
      <c r="Z26" s="345"/>
      <c r="AA26" s="345"/>
      <c r="AB26" s="345"/>
      <c r="AC26" s="345"/>
      <c r="AD26" s="345"/>
      <c r="AE26" s="345">
        <v>20.25</v>
      </c>
      <c r="AF26" s="345"/>
      <c r="AG26" s="345">
        <v>24</v>
      </c>
      <c r="AH26" s="345"/>
      <c r="AI26" s="345"/>
      <c r="AJ26" s="345">
        <v>558</v>
      </c>
      <c r="AK26" s="345">
        <v>14</v>
      </c>
      <c r="AL26" s="345"/>
      <c r="AM26" s="345"/>
      <c r="AN26" s="345"/>
      <c r="AO26" s="345"/>
      <c r="AP26" s="346" t="b">
        <f>SUM(M26:AO26)=L26</f>
        <v>1</v>
      </c>
      <c r="XFA26" s="346"/>
    </row>
    <row r="27" spans="1:42 16381:16381" s="347" customFormat="1" ht="15" customHeight="1">
      <c r="A27" s="338" t="s">
        <v>285</v>
      </c>
      <c r="B27" s="339" t="s">
        <v>324</v>
      </c>
      <c r="C27" s="339">
        <v>12270</v>
      </c>
      <c r="D27" s="340" t="s">
        <v>327</v>
      </c>
      <c r="E27" s="361" t="s">
        <v>298</v>
      </c>
      <c r="F27" s="338" t="s">
        <v>286</v>
      </c>
      <c r="G27" s="160">
        <v>12</v>
      </c>
      <c r="H27" s="342">
        <v>103522424</v>
      </c>
      <c r="I27" s="506"/>
      <c r="J27" s="343">
        <v>720</v>
      </c>
      <c r="K27" s="344">
        <v>120</v>
      </c>
      <c r="L27" s="343">
        <v>600</v>
      </c>
      <c r="M27" s="345"/>
      <c r="N27" s="345"/>
      <c r="O27" s="345"/>
      <c r="P27" s="345"/>
      <c r="Q27" s="345"/>
      <c r="R27" s="345"/>
      <c r="S27" s="345"/>
      <c r="T27" s="345"/>
      <c r="U27" s="345">
        <v>600</v>
      </c>
      <c r="V27" s="345"/>
      <c r="W27" s="345"/>
      <c r="X27" s="345"/>
      <c r="Y27" s="345"/>
      <c r="Z27" s="345"/>
      <c r="AA27" s="345"/>
      <c r="AB27" s="345"/>
      <c r="AC27" s="345"/>
      <c r="AD27" s="345"/>
      <c r="AE27" s="345"/>
      <c r="AF27" s="345"/>
      <c r="AG27" s="345"/>
      <c r="AH27" s="345"/>
      <c r="AI27" s="345"/>
      <c r="AJ27" s="345"/>
      <c r="AK27" s="345"/>
      <c r="AL27" s="345"/>
      <c r="AM27" s="345"/>
      <c r="AN27" s="345"/>
      <c r="AO27" s="345"/>
      <c r="AP27" s="346" t="b">
        <f>SUM(M27:AO27)=L27</f>
        <v>1</v>
      </c>
      <c r="XFA27" s="346"/>
    </row>
    <row r="28" spans="1:42 16381:16381" s="347" customFormat="1" ht="15" customHeight="1">
      <c r="A28" s="338" t="s">
        <v>287</v>
      </c>
      <c r="B28" s="339" t="s">
        <v>324</v>
      </c>
      <c r="C28" s="339" t="s">
        <v>289</v>
      </c>
      <c r="D28" s="340" t="s">
        <v>330</v>
      </c>
      <c r="E28" s="361" t="s">
        <v>297</v>
      </c>
      <c r="F28" s="338" t="s">
        <v>290</v>
      </c>
      <c r="G28" s="160">
        <v>13</v>
      </c>
      <c r="H28" s="342" t="s">
        <v>303</v>
      </c>
      <c r="I28" s="506"/>
      <c r="J28" s="343">
        <v>556.79999999999995</v>
      </c>
      <c r="K28" s="344">
        <v>92.8</v>
      </c>
      <c r="L28" s="343">
        <f>J28-K28</f>
        <v>463.99999999999994</v>
      </c>
      <c r="M28" s="345"/>
      <c r="N28" s="345"/>
      <c r="O28" s="345"/>
      <c r="P28" s="345"/>
      <c r="Q28" s="345">
        <f>L28</f>
        <v>463.99999999999994</v>
      </c>
      <c r="R28" s="345"/>
      <c r="S28" s="345"/>
      <c r="T28" s="345"/>
      <c r="U28" s="345"/>
      <c r="V28" s="345"/>
      <c r="W28" s="345"/>
      <c r="X28" s="345"/>
      <c r="Y28" s="345"/>
      <c r="Z28" s="345"/>
      <c r="AA28" s="345"/>
      <c r="AB28" s="345"/>
      <c r="AC28" s="345"/>
      <c r="AD28" s="345"/>
      <c r="AE28" s="345"/>
      <c r="AF28" s="345"/>
      <c r="AG28" s="345"/>
      <c r="AH28" s="345"/>
      <c r="AI28" s="345"/>
      <c r="AJ28" s="345"/>
      <c r="AK28" s="345"/>
      <c r="AL28" s="345"/>
      <c r="AM28" s="345"/>
      <c r="AN28" s="345"/>
      <c r="AO28" s="345"/>
      <c r="AP28" s="346" t="b">
        <f>SUM(M28:AO28)=L28</f>
        <v>1</v>
      </c>
      <c r="XFA28" s="346"/>
    </row>
    <row r="29" spans="1:42 16381:16381" s="347" customFormat="1" ht="15" customHeight="1">
      <c r="A29" s="338" t="s">
        <v>256</v>
      </c>
      <c r="B29" s="339" t="s">
        <v>324</v>
      </c>
      <c r="C29" s="339" t="s">
        <v>292</v>
      </c>
      <c r="D29" s="340" t="s">
        <v>329</v>
      </c>
      <c r="E29" s="341" t="s">
        <v>299</v>
      </c>
      <c r="F29" s="338" t="s">
        <v>291</v>
      </c>
      <c r="G29" s="160">
        <v>14</v>
      </c>
      <c r="H29" s="342" t="s">
        <v>302</v>
      </c>
      <c r="I29" s="506"/>
      <c r="J29" s="343">
        <v>335.84</v>
      </c>
      <c r="K29" s="344">
        <v>33.78</v>
      </c>
      <c r="L29" s="343">
        <f>J29-K29</f>
        <v>302.05999999999995</v>
      </c>
      <c r="M29" s="345"/>
      <c r="N29" s="345"/>
      <c r="O29" s="345"/>
      <c r="P29" s="345"/>
      <c r="Q29" s="345"/>
      <c r="R29" s="345"/>
      <c r="S29" s="345"/>
      <c r="T29" s="345"/>
      <c r="U29" s="345"/>
      <c r="V29" s="345"/>
      <c r="W29" s="345">
        <f>L29-AD29-AL29</f>
        <v>117.44999999999993</v>
      </c>
      <c r="X29" s="345"/>
      <c r="Y29" s="345"/>
      <c r="Z29" s="345"/>
      <c r="AA29" s="345"/>
      <c r="AB29" s="345"/>
      <c r="AC29" s="345"/>
      <c r="AD29" s="345">
        <v>135.12</v>
      </c>
      <c r="AE29" s="345"/>
      <c r="AF29" s="345"/>
      <c r="AG29" s="345"/>
      <c r="AH29" s="345"/>
      <c r="AI29" s="345"/>
      <c r="AJ29" s="345"/>
      <c r="AK29" s="345"/>
      <c r="AL29" s="345">
        <v>49.49</v>
      </c>
      <c r="AM29" s="345"/>
      <c r="AN29" s="345"/>
      <c r="AO29" s="345"/>
      <c r="AP29" s="346" t="b">
        <f>SUM(M29:AO29)=L29</f>
        <v>1</v>
      </c>
      <c r="XFA29" s="346"/>
    </row>
    <row r="30" spans="1:42 16381:16381" s="347" customFormat="1" ht="15" customHeight="1">
      <c r="A30" s="338" t="s">
        <v>288</v>
      </c>
      <c r="B30" s="339" t="s">
        <v>324</v>
      </c>
      <c r="C30" s="339" t="s">
        <v>294</v>
      </c>
      <c r="D30" s="340" t="s">
        <v>331</v>
      </c>
      <c r="E30" s="341" t="s">
        <v>295</v>
      </c>
      <c r="F30" s="338" t="s">
        <v>293</v>
      </c>
      <c r="G30" s="160">
        <v>15</v>
      </c>
      <c r="H30" s="342" t="s">
        <v>102</v>
      </c>
      <c r="I30" s="506"/>
      <c r="J30" s="343">
        <v>252.31</v>
      </c>
      <c r="K30" s="344">
        <v>0</v>
      </c>
      <c r="L30" s="343">
        <f>J30</f>
        <v>252.31</v>
      </c>
      <c r="M30" s="345"/>
      <c r="N30" s="345">
        <f>L30</f>
        <v>252.31</v>
      </c>
      <c r="O30" s="345"/>
      <c r="P30" s="345"/>
      <c r="Q30" s="345"/>
      <c r="R30" s="345"/>
      <c r="S30" s="345"/>
      <c r="T30" s="345"/>
      <c r="U30" s="345"/>
      <c r="V30" s="345"/>
      <c r="W30" s="345"/>
      <c r="X30" s="345"/>
      <c r="Y30" s="345"/>
      <c r="Z30" s="345"/>
      <c r="AA30" s="345"/>
      <c r="AB30" s="345"/>
      <c r="AC30" s="345"/>
      <c r="AD30" s="345"/>
      <c r="AE30" s="345"/>
      <c r="AF30" s="345"/>
      <c r="AG30" s="345"/>
      <c r="AH30" s="345"/>
      <c r="AI30" s="345"/>
      <c r="AJ30" s="345"/>
      <c r="AK30" s="345"/>
      <c r="AL30" s="345"/>
      <c r="AM30" s="345"/>
      <c r="AN30" s="345"/>
      <c r="AO30" s="345"/>
      <c r="AP30" s="346" t="b">
        <f>SUM(M30:AO30)=L30</f>
        <v>1</v>
      </c>
      <c r="XFA30" s="346"/>
    </row>
    <row r="31" spans="1:42 16381:16381" s="473" customFormat="1" ht="15" customHeight="1">
      <c r="A31" s="466"/>
      <c r="B31" s="464" t="s">
        <v>392</v>
      </c>
      <c r="C31" s="467"/>
      <c r="D31" s="468" t="s">
        <v>332</v>
      </c>
      <c r="E31" s="469"/>
      <c r="F31" s="466" t="s">
        <v>25</v>
      </c>
      <c r="G31" s="470">
        <v>16</v>
      </c>
      <c r="H31" s="471"/>
      <c r="I31" s="507"/>
      <c r="J31" s="429">
        <f>L31</f>
        <v>604</v>
      </c>
      <c r="K31" s="472">
        <v>0</v>
      </c>
      <c r="L31" s="472">
        <f>SUM(M31:AO31)</f>
        <v>604</v>
      </c>
      <c r="M31" s="472"/>
      <c r="N31" s="472"/>
      <c r="O31" s="472"/>
      <c r="P31" s="472"/>
      <c r="Q31" s="472"/>
      <c r="R31" s="472"/>
      <c r="S31" s="472"/>
      <c r="T31" s="472"/>
      <c r="U31" s="472"/>
      <c r="V31" s="472"/>
      <c r="W31" s="472"/>
      <c r="X31" s="472"/>
      <c r="Y31" s="472"/>
      <c r="Z31" s="472"/>
      <c r="AA31" s="472"/>
      <c r="AB31" s="472"/>
      <c r="AC31" s="472"/>
      <c r="AD31" s="472"/>
      <c r="AE31" s="472"/>
      <c r="AF31" s="472">
        <f>22</f>
        <v>22</v>
      </c>
      <c r="AG31" s="472">
        <f>24</f>
        <v>24</v>
      </c>
      <c r="AH31" s="472"/>
      <c r="AI31" s="472"/>
      <c r="AJ31" s="472">
        <v>558</v>
      </c>
      <c r="AK31" s="472"/>
      <c r="AL31" s="472"/>
      <c r="AM31" s="472"/>
      <c r="AN31" s="472"/>
      <c r="AO31" s="472"/>
      <c r="AP31" s="473" t="b">
        <f>SUM(M31:AO31)=L31</f>
        <v>1</v>
      </c>
    </row>
    <row r="32" spans="1:42 16381:16381" s="473" customFormat="1" ht="15" customHeight="1">
      <c r="A32" s="466" t="s">
        <v>305</v>
      </c>
      <c r="B32" s="464" t="s">
        <v>392</v>
      </c>
      <c r="C32" s="467" t="s">
        <v>306</v>
      </c>
      <c r="D32" s="468" t="s">
        <v>333</v>
      </c>
      <c r="E32" s="469"/>
      <c r="F32" s="466" t="s">
        <v>26</v>
      </c>
      <c r="G32" s="470">
        <v>17</v>
      </c>
      <c r="H32" s="471" t="s">
        <v>304</v>
      </c>
      <c r="I32" s="507"/>
      <c r="J32" s="472">
        <v>693.23</v>
      </c>
      <c r="K32" s="472">
        <v>115.54</v>
      </c>
      <c r="L32" s="472">
        <f>J32-K32</f>
        <v>577.69000000000005</v>
      </c>
      <c r="M32" s="472"/>
      <c r="N32" s="472"/>
      <c r="O32" s="472"/>
      <c r="P32" s="472">
        <f>L32</f>
        <v>577.69000000000005</v>
      </c>
      <c r="Q32" s="472"/>
      <c r="R32" s="472"/>
      <c r="S32" s="472"/>
      <c r="T32" s="472"/>
      <c r="U32" s="472"/>
      <c r="V32" s="472"/>
      <c r="W32" s="472"/>
      <c r="X32" s="472"/>
      <c r="Y32" s="472"/>
      <c r="Z32" s="472"/>
      <c r="AA32" s="472"/>
      <c r="AB32" s="472"/>
      <c r="AC32" s="472"/>
      <c r="AD32" s="472"/>
      <c r="AE32" s="472"/>
      <c r="AF32" s="472"/>
      <c r="AG32" s="472"/>
      <c r="AH32" s="472"/>
      <c r="AI32" s="472"/>
      <c r="AJ32" s="472"/>
      <c r="AK32" s="472"/>
      <c r="AL32" s="472"/>
      <c r="AM32" s="472"/>
      <c r="AN32" s="472"/>
      <c r="AO32" s="472"/>
      <c r="AP32" s="473" t="b">
        <f>SUM(M32:AO32)=L32</f>
        <v>1</v>
      </c>
    </row>
    <row r="33" spans="1:42 16381:16381" s="473" customFormat="1" ht="15" customHeight="1">
      <c r="A33" s="466" t="s">
        <v>307</v>
      </c>
      <c r="B33" s="464" t="s">
        <v>392</v>
      </c>
      <c r="C33" s="467">
        <v>63</v>
      </c>
      <c r="D33" s="468" t="s">
        <v>334</v>
      </c>
      <c r="E33" s="474"/>
      <c r="F33" s="469" t="s">
        <v>308</v>
      </c>
      <c r="G33" s="470">
        <v>18</v>
      </c>
      <c r="H33" s="471"/>
      <c r="I33" s="507"/>
      <c r="J33" s="472">
        <v>59.4</v>
      </c>
      <c r="K33" s="472">
        <v>9.9</v>
      </c>
      <c r="L33" s="472">
        <f>J33-K33</f>
        <v>49.5</v>
      </c>
      <c r="M33" s="472"/>
      <c r="N33" s="472"/>
      <c r="O33" s="472"/>
      <c r="P33" s="472"/>
      <c r="Q33" s="472"/>
      <c r="R33" s="472"/>
      <c r="S33" s="472"/>
      <c r="T33" s="472"/>
      <c r="U33" s="472"/>
      <c r="V33" s="472"/>
      <c r="W33" s="472"/>
      <c r="X33" s="472"/>
      <c r="Y33" s="472"/>
      <c r="Z33" s="472">
        <f>49.5</f>
        <v>49.5</v>
      </c>
      <c r="AA33" s="472"/>
      <c r="AB33" s="472"/>
      <c r="AC33" s="472"/>
      <c r="AD33" s="472"/>
      <c r="AE33" s="472"/>
      <c r="AF33" s="472"/>
      <c r="AG33" s="472"/>
      <c r="AH33" s="472"/>
      <c r="AI33" s="472"/>
      <c r="AJ33" s="472"/>
      <c r="AK33" s="472"/>
      <c r="AL33" s="472"/>
      <c r="AM33" s="472"/>
      <c r="AN33" s="472"/>
      <c r="AO33" s="472"/>
      <c r="AP33" s="473" t="b">
        <f>SUM(M33:AO33)=L33</f>
        <v>1</v>
      </c>
    </row>
    <row r="34" spans="1:42 16381:16381" s="388" customFormat="1" ht="15" customHeight="1">
      <c r="A34" s="379" t="s">
        <v>102</v>
      </c>
      <c r="B34" s="465" t="s">
        <v>391</v>
      </c>
      <c r="C34" s="380"/>
      <c r="D34" s="381" t="s">
        <v>335</v>
      </c>
      <c r="E34" s="382"/>
      <c r="F34" s="377" t="s">
        <v>25</v>
      </c>
      <c r="G34" s="383">
        <v>19</v>
      </c>
      <c r="H34" s="463" t="s">
        <v>102</v>
      </c>
      <c r="I34" s="508"/>
      <c r="J34" s="413">
        <v>590.1</v>
      </c>
      <c r="K34" s="385">
        <v>0</v>
      </c>
      <c r="L34" s="376">
        <f>J34</f>
        <v>590.1</v>
      </c>
      <c r="M34" s="386"/>
      <c r="N34" s="386"/>
      <c r="O34" s="386"/>
      <c r="P34" s="386"/>
      <c r="Q34" s="386"/>
      <c r="R34" s="386"/>
      <c r="S34" s="386"/>
      <c r="T34" s="386"/>
      <c r="U34" s="386"/>
      <c r="V34" s="386"/>
      <c r="W34" s="386"/>
      <c r="X34" s="386"/>
      <c r="Y34" s="386"/>
      <c r="Z34" s="386"/>
      <c r="AA34" s="386"/>
      <c r="AB34" s="386"/>
      <c r="AC34" s="386"/>
      <c r="AD34" s="386"/>
      <c r="AE34" s="386">
        <v>8.1</v>
      </c>
      <c r="AF34" s="386"/>
      <c r="AG34" s="386">
        <v>24</v>
      </c>
      <c r="AH34" s="386"/>
      <c r="AI34" s="386"/>
      <c r="AJ34" s="386">
        <v>558</v>
      </c>
      <c r="AK34" s="386"/>
      <c r="AL34" s="386"/>
      <c r="AM34" s="386"/>
      <c r="AN34" s="386"/>
      <c r="AO34" s="386"/>
      <c r="AP34" s="378" t="b">
        <f t="shared" ref="AP34:AP52" si="3">SUM(M34:AO34)=L34</f>
        <v>1</v>
      </c>
      <c r="XFA34" s="387"/>
    </row>
    <row r="35" spans="1:42 16381:16381" s="543" customFormat="1" ht="15" customHeight="1">
      <c r="A35" s="531" t="s">
        <v>372</v>
      </c>
      <c r="B35" s="532" t="s">
        <v>391</v>
      </c>
      <c r="C35" s="531">
        <v>218</v>
      </c>
      <c r="D35" s="533" t="s">
        <v>341</v>
      </c>
      <c r="E35" s="534"/>
      <c r="F35" s="535" t="s">
        <v>314</v>
      </c>
      <c r="G35" s="517">
        <v>20</v>
      </c>
      <c r="H35" s="536">
        <v>102645114</v>
      </c>
      <c r="I35" s="537"/>
      <c r="J35" s="538">
        <v>1216.8</v>
      </c>
      <c r="K35" s="539">
        <v>2.8</v>
      </c>
      <c r="L35" s="538">
        <f>J35-K35</f>
        <v>1214</v>
      </c>
      <c r="M35" s="540"/>
      <c r="N35" s="540"/>
      <c r="O35" s="540"/>
      <c r="P35" s="540"/>
      <c r="Q35" s="540"/>
      <c r="R35" s="540"/>
      <c r="S35" s="540"/>
      <c r="T35" s="540"/>
      <c r="U35" s="540"/>
      <c r="V35" s="540"/>
      <c r="W35" s="540"/>
      <c r="X35" s="540"/>
      <c r="Y35" s="540"/>
      <c r="Z35" s="540"/>
      <c r="AA35" s="540"/>
      <c r="AB35" s="540"/>
      <c r="AC35" s="540"/>
      <c r="AD35" s="540"/>
      <c r="AE35" s="540"/>
      <c r="AF35" s="540"/>
      <c r="AG35" s="540"/>
      <c r="AH35" s="540"/>
      <c r="AI35" s="540"/>
      <c r="AJ35" s="540"/>
      <c r="AK35" s="540"/>
      <c r="AL35" s="540"/>
      <c r="AM35" s="540"/>
      <c r="AN35" s="540">
        <v>1214</v>
      </c>
      <c r="AO35" s="540"/>
      <c r="AP35" s="541" t="b">
        <f t="shared" si="3"/>
        <v>1</v>
      </c>
      <c r="XFA35" s="542"/>
    </row>
    <row r="36" spans="1:42 16381:16381" s="388" customFormat="1" ht="15" customHeight="1">
      <c r="A36" s="379" t="s">
        <v>317</v>
      </c>
      <c r="B36" s="465" t="s">
        <v>391</v>
      </c>
      <c r="C36" s="389" t="s">
        <v>316</v>
      </c>
      <c r="D36" s="381" t="s">
        <v>336</v>
      </c>
      <c r="E36" s="382"/>
      <c r="F36" s="377" t="s">
        <v>315</v>
      </c>
      <c r="G36" s="383">
        <v>21</v>
      </c>
      <c r="H36" s="463" t="s">
        <v>102</v>
      </c>
      <c r="I36" s="508"/>
      <c r="J36" s="376">
        <v>637.14</v>
      </c>
      <c r="K36" s="385">
        <v>0</v>
      </c>
      <c r="L36" s="376">
        <f>J36</f>
        <v>637.14</v>
      </c>
      <c r="M36" s="386"/>
      <c r="N36" s="386"/>
      <c r="O36" s="386"/>
      <c r="P36" s="386"/>
      <c r="Q36" s="386"/>
      <c r="R36" s="386"/>
      <c r="S36" s="386"/>
      <c r="T36" s="386"/>
      <c r="U36" s="386"/>
      <c r="V36" s="386"/>
      <c r="W36" s="386"/>
      <c r="X36" s="386"/>
      <c r="Y36" s="386"/>
      <c r="Z36" s="386"/>
      <c r="AA36" s="386"/>
      <c r="AB36" s="386">
        <v>637.14</v>
      </c>
      <c r="AC36" s="386"/>
      <c r="AD36" s="386"/>
      <c r="AE36" s="386"/>
      <c r="AF36" s="386"/>
      <c r="AG36" s="386"/>
      <c r="AH36" s="386"/>
      <c r="AI36" s="386" t="s">
        <v>8</v>
      </c>
      <c r="AJ36" s="386"/>
      <c r="AK36" s="386"/>
      <c r="AL36" s="386"/>
      <c r="AM36" s="386"/>
      <c r="AN36" s="386"/>
      <c r="AO36" s="386"/>
      <c r="AP36" s="378" t="b">
        <f t="shared" si="3"/>
        <v>1</v>
      </c>
      <c r="XFA36" s="387"/>
    </row>
    <row r="37" spans="1:42 16381:16381" s="388" customFormat="1" ht="15" customHeight="1">
      <c r="A37" s="379" t="s">
        <v>321</v>
      </c>
      <c r="B37" s="464" t="s">
        <v>391</v>
      </c>
      <c r="C37" s="380">
        <v>52044</v>
      </c>
      <c r="D37" s="381" t="s">
        <v>337</v>
      </c>
      <c r="E37" s="382"/>
      <c r="F37" s="377" t="s">
        <v>318</v>
      </c>
      <c r="G37" s="383">
        <v>22</v>
      </c>
      <c r="H37" s="384">
        <v>345512218</v>
      </c>
      <c r="I37" s="509"/>
      <c r="J37" s="376">
        <v>120</v>
      </c>
      <c r="K37" s="385">
        <v>20</v>
      </c>
      <c r="L37" s="376">
        <v>100</v>
      </c>
      <c r="M37" s="386"/>
      <c r="N37" s="386"/>
      <c r="O37" s="386">
        <v>100</v>
      </c>
      <c r="P37" s="386"/>
      <c r="Q37" s="386"/>
      <c r="R37" s="386"/>
      <c r="S37" s="386"/>
      <c r="T37" s="386"/>
      <c r="U37" s="386"/>
      <c r="V37" s="386"/>
      <c r="W37" s="386"/>
      <c r="X37" s="386"/>
      <c r="Y37" s="386"/>
      <c r="Z37" s="386"/>
      <c r="AA37" s="386"/>
      <c r="AB37" s="386"/>
      <c r="AC37" s="386"/>
      <c r="AD37" s="386"/>
      <c r="AE37" s="386"/>
      <c r="AF37" s="386"/>
      <c r="AG37" s="386"/>
      <c r="AH37" s="386"/>
      <c r="AI37" s="386"/>
      <c r="AJ37" s="386"/>
      <c r="AK37" s="386"/>
      <c r="AL37" s="386"/>
      <c r="AM37" s="386"/>
      <c r="AN37" s="386"/>
      <c r="AO37" s="386"/>
      <c r="AP37" s="378" t="b">
        <f t="shared" si="3"/>
        <v>1</v>
      </c>
      <c r="XFA37" s="387"/>
    </row>
    <row r="38" spans="1:42 16381:16381" s="388" customFormat="1" ht="15" customHeight="1">
      <c r="A38" s="379" t="s">
        <v>322</v>
      </c>
      <c r="B38" s="465" t="s">
        <v>391</v>
      </c>
      <c r="C38" s="380">
        <v>52073</v>
      </c>
      <c r="D38" s="381" t="s">
        <v>338</v>
      </c>
      <c r="E38" s="382"/>
      <c r="F38" s="377" t="s">
        <v>318</v>
      </c>
      <c r="G38" s="383">
        <v>23</v>
      </c>
      <c r="H38" s="384">
        <v>345512218</v>
      </c>
      <c r="I38" s="509"/>
      <c r="J38" s="376">
        <v>136.5</v>
      </c>
      <c r="K38" s="385">
        <v>22.75</v>
      </c>
      <c r="L38" s="376">
        <v>113.75</v>
      </c>
      <c r="M38" s="386"/>
      <c r="N38" s="386"/>
      <c r="O38" s="386">
        <v>113.75</v>
      </c>
      <c r="P38" s="386"/>
      <c r="Q38" s="386"/>
      <c r="R38" s="386"/>
      <c r="S38" s="386"/>
      <c r="T38" s="386"/>
      <c r="U38" s="386"/>
      <c r="V38" s="386"/>
      <c r="W38" s="386"/>
      <c r="X38" s="386"/>
      <c r="Y38" s="386"/>
      <c r="Z38" s="386"/>
      <c r="AA38" s="386"/>
      <c r="AB38" s="386"/>
      <c r="AC38" s="386"/>
      <c r="AD38" s="386"/>
      <c r="AE38" s="386"/>
      <c r="AF38" s="386"/>
      <c r="AG38" s="386"/>
      <c r="AH38" s="386"/>
      <c r="AI38" s="386"/>
      <c r="AJ38" s="386"/>
      <c r="AK38" s="386"/>
      <c r="AL38" s="386"/>
      <c r="AM38" s="386"/>
      <c r="AN38" s="386"/>
      <c r="AO38" s="386"/>
      <c r="AP38" s="378" t="b">
        <f t="shared" si="3"/>
        <v>1</v>
      </c>
      <c r="XFA38" s="387"/>
    </row>
    <row r="39" spans="1:42 16381:16381" s="388" customFormat="1" ht="15" customHeight="1">
      <c r="A39" s="379" t="s">
        <v>323</v>
      </c>
      <c r="B39" s="465" t="s">
        <v>391</v>
      </c>
      <c r="C39" s="380">
        <v>629</v>
      </c>
      <c r="D39" s="381" t="s">
        <v>339</v>
      </c>
      <c r="E39" s="382"/>
      <c r="F39" s="377" t="s">
        <v>320</v>
      </c>
      <c r="G39" s="383">
        <v>24</v>
      </c>
      <c r="H39" s="463" t="s">
        <v>102</v>
      </c>
      <c r="I39" s="508"/>
      <c r="J39" s="376">
        <v>1080</v>
      </c>
      <c r="K39" s="385">
        <v>0</v>
      </c>
      <c r="L39" s="376">
        <v>1080</v>
      </c>
      <c r="M39" s="386"/>
      <c r="N39" s="386"/>
      <c r="O39" s="386"/>
      <c r="P39" s="386"/>
      <c r="Q39" s="386"/>
      <c r="R39" s="386"/>
      <c r="S39" s="386"/>
      <c r="T39" s="386"/>
      <c r="U39" s="386"/>
      <c r="V39" s="386"/>
      <c r="W39" s="386"/>
      <c r="X39" s="386">
        <v>1080</v>
      </c>
      <c r="Y39" s="386"/>
      <c r="Z39" s="386"/>
      <c r="AA39" s="386"/>
      <c r="AB39" s="386"/>
      <c r="AC39" s="386"/>
      <c r="AD39" s="386"/>
      <c r="AE39" s="386"/>
      <c r="AF39" s="386"/>
      <c r="AG39" s="386"/>
      <c r="AH39" s="386"/>
      <c r="AI39" s="386"/>
      <c r="AJ39" s="386"/>
      <c r="AK39" s="386"/>
      <c r="AL39" s="386"/>
      <c r="AM39" s="386"/>
      <c r="AN39" s="386"/>
      <c r="AO39" s="386"/>
      <c r="AP39" s="378" t="b">
        <f t="shared" si="3"/>
        <v>1</v>
      </c>
      <c r="XFA39" s="387"/>
    </row>
    <row r="40" spans="1:42 16381:16381" s="388" customFormat="1" ht="15" customHeight="1">
      <c r="A40" s="462" t="s">
        <v>371</v>
      </c>
      <c r="B40" s="464" t="s">
        <v>391</v>
      </c>
      <c r="C40" s="464" t="s">
        <v>102</v>
      </c>
      <c r="D40" s="381" t="s">
        <v>340</v>
      </c>
      <c r="E40" s="382"/>
      <c r="F40" s="377" t="s">
        <v>319</v>
      </c>
      <c r="G40" s="383">
        <v>25</v>
      </c>
      <c r="H40" s="463" t="s">
        <v>102</v>
      </c>
      <c r="I40" s="508"/>
      <c r="J40" s="376">
        <v>80</v>
      </c>
      <c r="K40" s="385">
        <v>0</v>
      </c>
      <c r="L40" s="376">
        <v>80</v>
      </c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>
        <v>80</v>
      </c>
      <c r="Z40" s="386"/>
      <c r="AA40" s="386"/>
      <c r="AB40" s="386"/>
      <c r="AC40" s="386"/>
      <c r="AD40" s="386"/>
      <c r="AE40" s="386"/>
      <c r="AF40" s="386"/>
      <c r="AG40" s="386"/>
      <c r="AH40" s="386"/>
      <c r="AI40" s="386"/>
      <c r="AJ40" s="386"/>
      <c r="AK40" s="386"/>
      <c r="AL40" s="386"/>
      <c r="AM40" s="386"/>
      <c r="AN40" s="386"/>
      <c r="AO40" s="386"/>
      <c r="AP40" s="378" t="b">
        <f t="shared" si="3"/>
        <v>1</v>
      </c>
      <c r="XFA40" s="387"/>
    </row>
    <row r="41" spans="1:42 16381:16381" s="388" customFormat="1" ht="15" customHeight="1">
      <c r="A41" s="462" t="s">
        <v>369</v>
      </c>
      <c r="B41" s="380" t="s">
        <v>356</v>
      </c>
      <c r="C41" s="464">
        <v>14653</v>
      </c>
      <c r="D41" s="381" t="s">
        <v>362</v>
      </c>
      <c r="E41" s="382"/>
      <c r="F41" s="377" t="s">
        <v>325</v>
      </c>
      <c r="G41" s="383">
        <v>26</v>
      </c>
      <c r="H41" s="463" t="s">
        <v>370</v>
      </c>
      <c r="I41" s="508"/>
      <c r="J41" s="376">
        <v>115.2</v>
      </c>
      <c r="K41" s="385">
        <v>19.2</v>
      </c>
      <c r="L41" s="376">
        <f>J41-K41</f>
        <v>96</v>
      </c>
      <c r="M41" s="386"/>
      <c r="N41" s="386"/>
      <c r="O41" s="386"/>
      <c r="P41" s="386"/>
      <c r="Q41" s="386"/>
      <c r="R41" s="386"/>
      <c r="S41" s="386"/>
      <c r="T41" s="386">
        <f>L41</f>
        <v>96</v>
      </c>
      <c r="U41" s="386"/>
      <c r="V41" s="386"/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  <c r="AI41" s="386"/>
      <c r="AJ41" s="386"/>
      <c r="AK41" s="386"/>
      <c r="AL41" s="386"/>
      <c r="AM41" s="386"/>
      <c r="AN41" s="386"/>
      <c r="AO41" s="386"/>
      <c r="AP41" s="378" t="b">
        <f t="shared" si="3"/>
        <v>1</v>
      </c>
      <c r="XFA41" s="387"/>
    </row>
    <row r="42" spans="1:42 16381:16381" s="388" customFormat="1" ht="15" customHeight="1">
      <c r="A42" s="462" t="s">
        <v>102</v>
      </c>
      <c r="B42" s="380" t="s">
        <v>355</v>
      </c>
      <c r="C42" s="464" t="s">
        <v>102</v>
      </c>
      <c r="D42" s="381" t="s">
        <v>363</v>
      </c>
      <c r="E42" s="382"/>
      <c r="F42" s="377" t="s">
        <v>326</v>
      </c>
      <c r="G42" s="383">
        <v>27</v>
      </c>
      <c r="H42" s="463" t="s">
        <v>102</v>
      </c>
      <c r="I42" s="508"/>
      <c r="J42" s="376">
        <v>35</v>
      </c>
      <c r="K42" s="385">
        <v>0</v>
      </c>
      <c r="L42" s="376">
        <v>35</v>
      </c>
      <c r="M42" s="386"/>
      <c r="N42" s="386"/>
      <c r="O42" s="386"/>
      <c r="P42" s="386"/>
      <c r="Q42" s="386"/>
      <c r="R42" s="386"/>
      <c r="S42" s="386">
        <v>35</v>
      </c>
      <c r="T42" s="386"/>
      <c r="U42" s="386"/>
      <c r="V42" s="386"/>
      <c r="W42" s="386"/>
      <c r="X42" s="386"/>
      <c r="Y42" s="386"/>
      <c r="Z42" s="386"/>
      <c r="AA42" s="386"/>
      <c r="AB42" s="386"/>
      <c r="AC42" s="386"/>
      <c r="AD42" s="386"/>
      <c r="AE42" s="386"/>
      <c r="AF42" s="386"/>
      <c r="AG42" s="386"/>
      <c r="AH42" s="386"/>
      <c r="AI42" s="386"/>
      <c r="AJ42" s="386"/>
      <c r="AK42" s="386"/>
      <c r="AL42" s="386"/>
      <c r="AM42" s="386"/>
      <c r="AN42" s="386"/>
      <c r="AO42" s="386"/>
      <c r="AP42" s="378" t="b">
        <f t="shared" si="3"/>
        <v>1</v>
      </c>
      <c r="XFA42" s="387"/>
    </row>
    <row r="43" spans="1:42 16381:16381" s="388" customFormat="1" ht="15" customHeight="1">
      <c r="A43" s="462" t="s">
        <v>102</v>
      </c>
      <c r="B43" s="464" t="s">
        <v>392</v>
      </c>
      <c r="C43" s="464" t="s">
        <v>102</v>
      </c>
      <c r="D43" s="381" t="s">
        <v>359</v>
      </c>
      <c r="E43" s="382"/>
      <c r="F43" s="377" t="s">
        <v>25</v>
      </c>
      <c r="G43" s="383">
        <v>28</v>
      </c>
      <c r="H43" s="463" t="s">
        <v>102</v>
      </c>
      <c r="I43" s="508"/>
      <c r="J43" s="376">
        <v>1315.2</v>
      </c>
      <c r="K43" s="385">
        <v>0</v>
      </c>
      <c r="L43" s="376">
        <f>J43</f>
        <v>1315.2</v>
      </c>
      <c r="M43" s="386"/>
      <c r="N43" s="386"/>
      <c r="O43" s="386"/>
      <c r="P43" s="386"/>
      <c r="Q43" s="386"/>
      <c r="R43" s="386"/>
      <c r="S43" s="386"/>
      <c r="T43" s="386"/>
      <c r="U43" s="386"/>
      <c r="V43" s="386"/>
      <c r="W43" s="386"/>
      <c r="X43" s="386"/>
      <c r="Y43" s="386"/>
      <c r="Z43" s="386"/>
      <c r="AA43" s="386"/>
      <c r="AB43" s="386"/>
      <c r="AC43" s="386"/>
      <c r="AD43" s="386"/>
      <c r="AE43" s="386">
        <v>8.1</v>
      </c>
      <c r="AF43" s="386"/>
      <c r="AG43" s="386">
        <f>60</f>
        <v>60</v>
      </c>
      <c r="AH43" s="386"/>
      <c r="AI43" s="386"/>
      <c r="AJ43" s="386">
        <f>1255.5-8.4</f>
        <v>1247.0999999999999</v>
      </c>
      <c r="AK43" s="386"/>
      <c r="AL43" s="386"/>
      <c r="AM43" s="386"/>
      <c r="AN43" s="386"/>
      <c r="AO43" s="386"/>
      <c r="AP43" s="378" t="b">
        <f t="shared" si="3"/>
        <v>1</v>
      </c>
      <c r="XFA43" s="387"/>
    </row>
    <row r="44" spans="1:42 16381:16381" s="388" customFormat="1" ht="15" customHeight="1">
      <c r="A44" s="462" t="s">
        <v>102</v>
      </c>
      <c r="B44" s="464" t="s">
        <v>392</v>
      </c>
      <c r="C44" s="464" t="s">
        <v>102</v>
      </c>
      <c r="D44" s="381" t="s">
        <v>360</v>
      </c>
      <c r="E44" s="382"/>
      <c r="F44" s="377" t="s">
        <v>60</v>
      </c>
      <c r="G44" s="383">
        <v>28</v>
      </c>
      <c r="H44" s="463" t="s">
        <v>102</v>
      </c>
      <c r="I44" s="508"/>
      <c r="J44" s="376">
        <v>8.4</v>
      </c>
      <c r="K44" s="385">
        <v>0</v>
      </c>
      <c r="L44" s="376">
        <f>J44</f>
        <v>8.4</v>
      </c>
      <c r="M44" s="386"/>
      <c r="N44" s="386"/>
      <c r="O44" s="386"/>
      <c r="P44" s="386"/>
      <c r="Q44" s="386"/>
      <c r="R44" s="386"/>
      <c r="S44" s="386"/>
      <c r="T44" s="386"/>
      <c r="U44" s="386"/>
      <c r="V44" s="386"/>
      <c r="W44" s="386"/>
      <c r="X44" s="386"/>
      <c r="Y44" s="386"/>
      <c r="Z44" s="386"/>
      <c r="AA44" s="386"/>
      <c r="AB44" s="386"/>
      <c r="AC44" s="386"/>
      <c r="AD44" s="386"/>
      <c r="AE44" s="386"/>
      <c r="AF44" s="386"/>
      <c r="AG44" s="386"/>
      <c r="AH44" s="386"/>
      <c r="AI44" s="386"/>
      <c r="AJ44" s="386">
        <f>L44</f>
        <v>8.4</v>
      </c>
      <c r="AK44" s="386"/>
      <c r="AL44" s="386"/>
      <c r="AM44" s="386"/>
      <c r="AN44" s="386"/>
      <c r="AO44" s="386"/>
      <c r="AP44" s="378" t="b">
        <f t="shared" si="3"/>
        <v>1</v>
      </c>
      <c r="XFA44" s="387"/>
    </row>
    <row r="45" spans="1:42 16381:16381" s="427" customFormat="1" ht="15" customHeight="1" thickBot="1">
      <c r="A45" s="446" t="s">
        <v>367</v>
      </c>
      <c r="B45" s="464" t="s">
        <v>392</v>
      </c>
      <c r="C45" s="447" t="s">
        <v>368</v>
      </c>
      <c r="D45" s="431" t="s">
        <v>361</v>
      </c>
      <c r="E45" s="432"/>
      <c r="F45" s="430" t="s">
        <v>354</v>
      </c>
      <c r="G45" s="433">
        <v>29</v>
      </c>
      <c r="H45" s="451" t="s">
        <v>366</v>
      </c>
      <c r="I45" s="510"/>
      <c r="J45" s="434">
        <f>L45+K45</f>
        <v>252</v>
      </c>
      <c r="K45" s="435">
        <v>42</v>
      </c>
      <c r="L45" s="434">
        <v>210</v>
      </c>
      <c r="M45" s="436"/>
      <c r="N45" s="436">
        <f>L45</f>
        <v>210</v>
      </c>
      <c r="O45" s="436"/>
      <c r="P45" s="436"/>
      <c r="Q45" s="436"/>
      <c r="R45" s="436"/>
      <c r="S45" s="436"/>
      <c r="T45" s="436"/>
      <c r="U45" s="436"/>
      <c r="V45" s="436"/>
      <c r="W45" s="436"/>
      <c r="X45" s="436"/>
      <c r="Y45" s="436"/>
      <c r="Z45" s="436"/>
      <c r="AA45" s="436"/>
      <c r="AB45" s="436"/>
      <c r="AC45" s="436"/>
      <c r="AD45" s="436"/>
      <c r="AE45" s="436"/>
      <c r="AF45" s="436"/>
      <c r="AG45" s="436"/>
      <c r="AH45" s="436"/>
      <c r="AI45" s="436"/>
      <c r="AJ45" s="436"/>
      <c r="AK45" s="436"/>
      <c r="AL45" s="436"/>
      <c r="AM45" s="436"/>
      <c r="AN45" s="436"/>
      <c r="AO45" s="436"/>
      <c r="AP45" s="428" t="b">
        <f t="shared" si="3"/>
        <v>1</v>
      </c>
      <c r="XFA45" s="426"/>
    </row>
    <row r="46" spans="1:42 16381:16381" s="456" customFormat="1" ht="15" customHeight="1">
      <c r="A46" s="446" t="s">
        <v>381</v>
      </c>
      <c r="B46" s="447" t="s">
        <v>378</v>
      </c>
      <c r="C46" s="447" t="s">
        <v>382</v>
      </c>
      <c r="D46" s="516" t="s">
        <v>419</v>
      </c>
      <c r="E46" s="449"/>
      <c r="F46" s="446" t="s">
        <v>26</v>
      </c>
      <c r="G46" s="450">
        <v>30</v>
      </c>
      <c r="H46" s="451" t="s">
        <v>304</v>
      </c>
      <c r="I46" s="510"/>
      <c r="J46" s="452">
        <v>144.71</v>
      </c>
      <c r="K46" s="453">
        <v>0</v>
      </c>
      <c r="L46" s="452">
        <f>J46</f>
        <v>144.71</v>
      </c>
      <c r="M46" s="454"/>
      <c r="N46" s="454"/>
      <c r="O46" s="454"/>
      <c r="P46" s="454"/>
      <c r="Q46" s="454"/>
      <c r="R46" s="454"/>
      <c r="S46" s="454"/>
      <c r="T46" s="454"/>
      <c r="U46" s="454"/>
      <c r="V46" s="454">
        <f>L46</f>
        <v>144.71</v>
      </c>
      <c r="W46" s="454"/>
      <c r="X46" s="454"/>
      <c r="Y46" s="454"/>
      <c r="Z46" s="454"/>
      <c r="AA46" s="454"/>
      <c r="AB46" s="454"/>
      <c r="AC46" s="454"/>
      <c r="AD46" s="454"/>
      <c r="AE46" s="454"/>
      <c r="AF46" s="454"/>
      <c r="AG46" s="454"/>
      <c r="AH46" s="454"/>
      <c r="AI46" s="454"/>
      <c r="AJ46" s="454"/>
      <c r="AK46" s="454"/>
      <c r="AL46" s="454"/>
      <c r="AM46" s="454"/>
      <c r="AN46" s="454"/>
      <c r="AO46" s="454"/>
      <c r="AP46" s="378" t="b">
        <f t="shared" si="3"/>
        <v>1</v>
      </c>
      <c r="XFA46" s="455"/>
    </row>
    <row r="47" spans="1:42 16381:16381" s="456" customFormat="1" ht="15" customHeight="1">
      <c r="A47" s="446" t="s">
        <v>323</v>
      </c>
      <c r="B47" s="447" t="s">
        <v>378</v>
      </c>
      <c r="C47" s="447">
        <v>2934419</v>
      </c>
      <c r="D47" s="516" t="s">
        <v>420</v>
      </c>
      <c r="E47" s="449"/>
      <c r="F47" s="446" t="s">
        <v>229</v>
      </c>
      <c r="G47" s="450">
        <v>31</v>
      </c>
      <c r="H47" s="451" t="s">
        <v>383</v>
      </c>
      <c r="I47" s="510"/>
      <c r="J47" s="452">
        <v>117.65</v>
      </c>
      <c r="K47" s="453">
        <v>19.61</v>
      </c>
      <c r="L47" s="452">
        <f>J47-K47</f>
        <v>98.04</v>
      </c>
      <c r="M47" s="454"/>
      <c r="N47" s="454"/>
      <c r="O47" s="454"/>
      <c r="P47" s="454"/>
      <c r="Q47" s="454"/>
      <c r="R47" s="454"/>
      <c r="S47" s="454"/>
      <c r="T47" s="454"/>
      <c r="U47" s="454"/>
      <c r="V47" s="454"/>
      <c r="W47" s="454"/>
      <c r="X47" s="454"/>
      <c r="Y47" s="454"/>
      <c r="Z47" s="454"/>
      <c r="AA47" s="454"/>
      <c r="AB47" s="454"/>
      <c r="AC47" s="454"/>
      <c r="AD47" s="454"/>
      <c r="AE47" s="454"/>
      <c r="AF47" s="454"/>
      <c r="AG47" s="454"/>
      <c r="AH47" s="454"/>
      <c r="AI47" s="454"/>
      <c r="AJ47" s="454"/>
      <c r="AK47" s="454">
        <f>L47</f>
        <v>98.04</v>
      </c>
      <c r="AL47" s="454"/>
      <c r="AM47" s="454"/>
      <c r="AN47" s="454"/>
      <c r="AO47" s="454"/>
      <c r="AP47" s="378" t="b">
        <f t="shared" si="3"/>
        <v>1</v>
      </c>
      <c r="XFA47" s="455"/>
    </row>
    <row r="48" spans="1:42 16381:16381" s="456" customFormat="1" ht="15" customHeight="1">
      <c r="A48" s="446" t="s">
        <v>384</v>
      </c>
      <c r="B48" s="447" t="s">
        <v>378</v>
      </c>
      <c r="C48" s="447" t="s">
        <v>385</v>
      </c>
      <c r="D48" s="550" t="s">
        <v>421</v>
      </c>
      <c r="E48" s="449"/>
      <c r="F48" s="446" t="s">
        <v>364</v>
      </c>
      <c r="G48" s="450">
        <v>32</v>
      </c>
      <c r="H48" s="451" t="s">
        <v>386</v>
      </c>
      <c r="I48" s="510"/>
      <c r="J48" s="452">
        <v>1523.38</v>
      </c>
      <c r="K48" s="453">
        <f>89.18</f>
        <v>89.18</v>
      </c>
      <c r="L48" s="452">
        <f>J48-K48</f>
        <v>1434.2</v>
      </c>
      <c r="M48" s="454"/>
      <c r="N48" s="454"/>
      <c r="O48" s="454"/>
      <c r="P48" s="454"/>
      <c r="Q48" s="454"/>
      <c r="R48" s="454"/>
      <c r="S48" s="454"/>
      <c r="T48" s="454"/>
      <c r="U48" s="454">
        <f>L48</f>
        <v>1434.2</v>
      </c>
      <c r="V48" s="454"/>
      <c r="W48" s="454"/>
      <c r="X48" s="454"/>
      <c r="Y48" s="454"/>
      <c r="Z48" s="454"/>
      <c r="AA48" s="454"/>
      <c r="AB48" s="454"/>
      <c r="AC48" s="454"/>
      <c r="AD48" s="454"/>
      <c r="AE48" s="454"/>
      <c r="AF48" s="454"/>
      <c r="AG48" s="454"/>
      <c r="AH48" s="454"/>
      <c r="AI48" s="454"/>
      <c r="AJ48" s="454"/>
      <c r="AK48" s="454"/>
      <c r="AL48" s="454"/>
      <c r="AM48" s="454"/>
      <c r="AN48" s="454"/>
      <c r="AO48" s="454"/>
      <c r="AP48" s="378" t="b">
        <f t="shared" si="3"/>
        <v>1</v>
      </c>
      <c r="XFA48" s="455"/>
    </row>
    <row r="49" spans="1:42 16381:16381" s="456" customFormat="1" ht="15" customHeight="1" thickBot="1">
      <c r="A49" s="446" t="s">
        <v>387</v>
      </c>
      <c r="B49" s="447" t="s">
        <v>378</v>
      </c>
      <c r="C49" s="447">
        <v>59457</v>
      </c>
      <c r="D49" s="550" t="s">
        <v>422</v>
      </c>
      <c r="E49" s="449"/>
      <c r="F49" s="446" t="s">
        <v>290</v>
      </c>
      <c r="G49" s="450">
        <v>33</v>
      </c>
      <c r="H49" s="451" t="s">
        <v>303</v>
      </c>
      <c r="I49" s="510"/>
      <c r="J49" s="452">
        <v>550</v>
      </c>
      <c r="K49" s="453">
        <v>0</v>
      </c>
      <c r="L49" s="452">
        <v>550</v>
      </c>
      <c r="M49" s="454"/>
      <c r="N49" s="454"/>
      <c r="O49" s="454"/>
      <c r="P49" s="454"/>
      <c r="Q49" s="454">
        <f>L49</f>
        <v>550</v>
      </c>
      <c r="R49" s="454"/>
      <c r="S49" s="454"/>
      <c r="T49" s="454"/>
      <c r="U49" s="454"/>
      <c r="V49" s="454"/>
      <c r="W49" s="454"/>
      <c r="X49" s="454"/>
      <c r="Y49" s="454"/>
      <c r="Z49" s="454"/>
      <c r="AA49" s="454"/>
      <c r="AB49" s="454"/>
      <c r="AC49" s="454"/>
      <c r="AD49" s="454"/>
      <c r="AE49" s="454"/>
      <c r="AF49" s="454"/>
      <c r="AG49" s="454"/>
      <c r="AH49" s="454"/>
      <c r="AI49" s="454"/>
      <c r="AJ49" s="454"/>
      <c r="AK49" s="454"/>
      <c r="AL49" s="454"/>
      <c r="AM49" s="454"/>
      <c r="AN49" s="454"/>
      <c r="AO49" s="454"/>
      <c r="AP49" s="428" t="b">
        <f t="shared" si="3"/>
        <v>1</v>
      </c>
      <c r="XFA49" s="455"/>
    </row>
    <row r="50" spans="1:42 16381:16381" s="456" customFormat="1" ht="15" customHeight="1">
      <c r="A50" s="446" t="s">
        <v>102</v>
      </c>
      <c r="B50" s="447" t="s">
        <v>378</v>
      </c>
      <c r="C50" s="447" t="s">
        <v>102</v>
      </c>
      <c r="D50" s="550" t="s">
        <v>423</v>
      </c>
      <c r="E50" s="449"/>
      <c r="F50" s="446" t="s">
        <v>25</v>
      </c>
      <c r="G50" s="450">
        <v>34</v>
      </c>
      <c r="H50" s="451"/>
      <c r="I50" s="510"/>
      <c r="J50" s="452">
        <v>826</v>
      </c>
      <c r="K50" s="453">
        <v>13.67</v>
      </c>
      <c r="L50" s="452">
        <f>J50-K50</f>
        <v>812.33</v>
      </c>
      <c r="M50" s="454">
        <v>68.33</v>
      </c>
      <c r="N50" s="454"/>
      <c r="O50" s="454"/>
      <c r="P50" s="454"/>
      <c r="Q50" s="454"/>
      <c r="R50" s="454"/>
      <c r="S50" s="454"/>
      <c r="T50" s="454"/>
      <c r="U50" s="454"/>
      <c r="V50" s="454"/>
      <c r="W50" s="454"/>
      <c r="X50" s="454"/>
      <c r="Y50" s="454"/>
      <c r="Z50" s="454"/>
      <c r="AA50" s="454"/>
      <c r="AB50" s="454"/>
      <c r="AC50" s="454"/>
      <c r="AD50" s="454"/>
      <c r="AE50" s="454">
        <v>8.1</v>
      </c>
      <c r="AF50" s="454"/>
      <c r="AG50" s="454">
        <v>30</v>
      </c>
      <c r="AH50" s="454"/>
      <c r="AI50" s="454"/>
      <c r="AJ50" s="454">
        <f>8.4+697.5</f>
        <v>705.9</v>
      </c>
      <c r="AK50" s="454"/>
      <c r="AL50" s="454"/>
      <c r="AM50" s="454"/>
      <c r="AN50" s="454"/>
      <c r="AO50" s="454"/>
      <c r="AP50" s="378" t="b">
        <f t="shared" si="3"/>
        <v>1</v>
      </c>
      <c r="XFA50" s="455"/>
    </row>
    <row r="51" spans="1:42 16381:16381" s="543" customFormat="1" ht="15" customHeight="1">
      <c r="A51" s="514" t="s">
        <v>388</v>
      </c>
      <c r="B51" s="515" t="s">
        <v>379</v>
      </c>
      <c r="C51" s="515" t="s">
        <v>389</v>
      </c>
      <c r="D51" s="516" t="s">
        <v>424</v>
      </c>
      <c r="E51" s="534"/>
      <c r="F51" s="514" t="s">
        <v>314</v>
      </c>
      <c r="G51" s="517">
        <v>35</v>
      </c>
      <c r="H51" s="544" t="s">
        <v>390</v>
      </c>
      <c r="I51" s="545"/>
      <c r="J51" s="546">
        <v>20254.32</v>
      </c>
      <c r="K51" s="547"/>
      <c r="L51" s="546">
        <f>J51</f>
        <v>20254.32</v>
      </c>
      <c r="M51" s="548"/>
      <c r="N51" s="548"/>
      <c r="O51" s="548"/>
      <c r="P51" s="548"/>
      <c r="Q51" s="548"/>
      <c r="R51" s="548"/>
      <c r="S51" s="548"/>
      <c r="T51" s="548"/>
      <c r="U51" s="548"/>
      <c r="V51" s="548"/>
      <c r="W51" s="548"/>
      <c r="X51" s="548"/>
      <c r="Y51" s="548"/>
      <c r="Z51" s="548"/>
      <c r="AA51" s="548"/>
      <c r="AB51" s="548"/>
      <c r="AC51" s="548"/>
      <c r="AD51" s="548"/>
      <c r="AE51" s="548"/>
      <c r="AF51" s="548"/>
      <c r="AG51" s="548"/>
      <c r="AH51" s="548"/>
      <c r="AI51" s="548"/>
      <c r="AJ51" s="548"/>
      <c r="AK51" s="548"/>
      <c r="AL51" s="548"/>
      <c r="AM51" s="548"/>
      <c r="AN51" s="548">
        <f>L51</f>
        <v>20254.32</v>
      </c>
      <c r="AO51" s="548"/>
      <c r="AP51" s="541" t="b">
        <f t="shared" si="3"/>
        <v>1</v>
      </c>
      <c r="XFA51" s="542"/>
    </row>
    <row r="52" spans="1:42 16381:16381" s="336" customFormat="1" ht="15" customHeight="1" thickBot="1">
      <c r="A52" s="514" t="s">
        <v>397</v>
      </c>
      <c r="B52" s="515" t="s">
        <v>397</v>
      </c>
      <c r="C52" s="416"/>
      <c r="D52" s="516" t="s">
        <v>398</v>
      </c>
      <c r="E52" s="370"/>
      <c r="F52" s="514" t="s">
        <v>396</v>
      </c>
      <c r="G52" s="517" t="s">
        <v>102</v>
      </c>
      <c r="H52" s="417"/>
      <c r="I52" s="513">
        <v>30000</v>
      </c>
      <c r="J52" s="418"/>
      <c r="K52" s="419"/>
      <c r="L52" s="418"/>
      <c r="M52" s="420"/>
      <c r="N52" s="420"/>
      <c r="O52" s="420"/>
      <c r="P52" s="420"/>
      <c r="Q52" s="420"/>
      <c r="R52" s="420"/>
      <c r="S52" s="420"/>
      <c r="T52" s="420"/>
      <c r="U52" s="420"/>
      <c r="V52" s="420"/>
      <c r="W52" s="420"/>
      <c r="X52" s="420"/>
      <c r="Y52" s="420"/>
      <c r="Z52" s="420"/>
      <c r="AA52" s="420"/>
      <c r="AB52" s="420"/>
      <c r="AC52" s="420"/>
      <c r="AD52" s="420"/>
      <c r="AE52" s="420"/>
      <c r="AF52" s="420"/>
      <c r="AG52" s="420"/>
      <c r="AH52" s="420"/>
      <c r="AI52" s="420"/>
      <c r="AJ52" s="420"/>
      <c r="AK52" s="420"/>
      <c r="AL52" s="420"/>
      <c r="AM52" s="420"/>
      <c r="AN52" s="420"/>
      <c r="AO52" s="420"/>
      <c r="AP52" s="428" t="b">
        <f t="shared" si="3"/>
        <v>1</v>
      </c>
      <c r="XFA52" s="335"/>
    </row>
    <row r="53" spans="1:42 16381:16381" s="551" customFormat="1" ht="17" thickBot="1">
      <c r="A53" s="551" t="s">
        <v>427</v>
      </c>
      <c r="D53" s="551" t="s">
        <v>425</v>
      </c>
      <c r="F53" s="551" t="s">
        <v>426</v>
      </c>
      <c r="H53" s="552" t="s">
        <v>8</v>
      </c>
      <c r="I53" s="553">
        <f ca="1">SUM(I16:I57)</f>
        <v>30000</v>
      </c>
      <c r="J53" s="553">
        <f ca="1">SUM(J16:J57)</f>
        <v>34783.71</v>
      </c>
      <c r="K53" s="553">
        <f ca="1">SUM(K16:K57)</f>
        <v>735.7700000000001</v>
      </c>
      <c r="L53" s="553">
        <f ca="1">SUM(L16:L57)</f>
        <v>34047.94</v>
      </c>
      <c r="M53" s="553">
        <f ca="1">SUM(M16:M57)</f>
        <v>68.33</v>
      </c>
      <c r="N53" s="553">
        <f ca="1">SUM(N16:N57)</f>
        <v>462.31</v>
      </c>
      <c r="O53" s="553">
        <f ca="1">SUM(O16:O57)</f>
        <v>213.75</v>
      </c>
      <c r="P53" s="553">
        <f ca="1">SUM(P16:P57)</f>
        <v>577.69000000000005</v>
      </c>
      <c r="Q53" s="553">
        <f ca="1">SUM(Q16:Q57)</f>
        <v>1014</v>
      </c>
      <c r="R53" s="553">
        <f ca="1">SUM(R16:R57)</f>
        <v>332.5</v>
      </c>
      <c r="S53" s="553">
        <f ca="1">SUM(S16:S57)</f>
        <v>35</v>
      </c>
      <c r="T53" s="553">
        <f ca="1">SUM(T16:T57)</f>
        <v>96</v>
      </c>
      <c r="U53" s="553">
        <f ca="1">SUM(U16:U57)</f>
        <v>2034.2</v>
      </c>
      <c r="V53" s="553">
        <f ca="1">SUM(V16:V57)</f>
        <v>144.71</v>
      </c>
      <c r="W53" s="553">
        <f ca="1">SUM(W16:W57)</f>
        <v>229.98999999999992</v>
      </c>
      <c r="X53" s="553">
        <f ca="1">SUM(X16:X57)</f>
        <v>1080</v>
      </c>
      <c r="Y53" s="553">
        <f ca="1">SUM(Y16:Y57)</f>
        <v>80</v>
      </c>
      <c r="Z53" s="553">
        <f ca="1">SUM(Z16:Z57)</f>
        <v>49.5</v>
      </c>
      <c r="AA53" s="553">
        <f ca="1">SUM(AA16:AA57)</f>
        <v>120</v>
      </c>
      <c r="AB53" s="553">
        <f ca="1">SUM(AB16:AB57)</f>
        <v>637.14</v>
      </c>
      <c r="AC53" s="553">
        <f ca="1">SUM(AC16:AC57)</f>
        <v>201.25</v>
      </c>
      <c r="AD53" s="553">
        <f ca="1">SUM(AD16:AD57)</f>
        <v>135.12</v>
      </c>
      <c r="AE53" s="553">
        <f ca="1">SUM(AE16:AE57)</f>
        <v>44.550000000000004</v>
      </c>
      <c r="AF53" s="553">
        <f ca="1">SUM(AF16:AF57)</f>
        <v>22</v>
      </c>
      <c r="AG53" s="553">
        <f ca="1">SUM(AG16:AG57)</f>
        <v>186</v>
      </c>
      <c r="AH53" s="553">
        <f ca="1">SUM(AH16:AH57)</f>
        <v>0</v>
      </c>
      <c r="AI53" s="553">
        <f ca="1">SUM(AI16:AI57)</f>
        <v>0</v>
      </c>
      <c r="AJ53" s="553">
        <f ca="1">SUM(AJ16:AJ57)</f>
        <v>4247.1399999999994</v>
      </c>
      <c r="AK53" s="553">
        <f ca="1">SUM(AK16:AK57)</f>
        <v>200.98000000000002</v>
      </c>
      <c r="AL53" s="553">
        <f ca="1">SUM(AL16:AL57)</f>
        <v>49.49</v>
      </c>
      <c r="AM53" s="553">
        <f ca="1">SUM(AM16:AM57)</f>
        <v>317.97000000000003</v>
      </c>
      <c r="AN53" s="553">
        <f ca="1">SUM(AN16:AN57)</f>
        <v>21468.32</v>
      </c>
      <c r="AO53" s="553">
        <f ca="1">SUM(AO16:AO57)</f>
        <v>0</v>
      </c>
    </row>
    <row r="54" spans="1:42 16381:16381" s="336" customFormat="1" ht="15" customHeight="1" thickTop="1">
      <c r="A54" s="415"/>
      <c r="B54" s="416"/>
      <c r="C54" s="416"/>
      <c r="D54" s="354"/>
      <c r="E54" s="370"/>
      <c r="F54" s="415" t="s">
        <v>25</v>
      </c>
      <c r="G54" s="334"/>
      <c r="H54" s="417"/>
      <c r="I54" s="512"/>
      <c r="J54" s="418">
        <f>'Clerks Timesheet'!D16</f>
        <v>1147.8699999999999</v>
      </c>
      <c r="K54" s="419"/>
      <c r="L54" s="418"/>
      <c r="M54" s="420"/>
      <c r="N54" s="420"/>
      <c r="O54" s="420"/>
      <c r="P54" s="420"/>
      <c r="Q54" s="420"/>
      <c r="R54" s="420"/>
      <c r="S54" s="420"/>
      <c r="T54" s="420"/>
      <c r="U54" s="420"/>
      <c r="V54" s="420"/>
      <c r="W54" s="420"/>
      <c r="X54" s="420"/>
      <c r="Y54" s="420"/>
      <c r="Z54" s="420"/>
      <c r="AA54" s="420"/>
      <c r="AB54" s="420"/>
      <c r="AC54" s="420"/>
      <c r="AD54" s="420"/>
      <c r="AE54" s="420"/>
      <c r="AF54" s="420"/>
      <c r="AG54" s="420"/>
      <c r="AH54" s="420"/>
      <c r="AI54" s="420"/>
      <c r="AJ54" s="420"/>
      <c r="AK54" s="420"/>
      <c r="AL54" s="420"/>
      <c r="AM54" s="420"/>
      <c r="AN54" s="420"/>
      <c r="AO54" s="420"/>
      <c r="AP54" s="549"/>
      <c r="XFA54" s="335"/>
    </row>
    <row r="55" spans="1:42 16381:16381" s="336" customFormat="1" ht="15" customHeight="1">
      <c r="A55" s="415"/>
      <c r="B55" s="416"/>
      <c r="C55" s="416"/>
      <c r="D55" s="354"/>
      <c r="E55" s="370"/>
      <c r="F55" s="415" t="s">
        <v>291</v>
      </c>
      <c r="G55" s="334"/>
      <c r="H55" s="417"/>
      <c r="I55" s="512"/>
      <c r="J55" s="418">
        <v>194.38</v>
      </c>
      <c r="K55" s="419"/>
      <c r="L55" s="418"/>
      <c r="M55" s="420"/>
      <c r="N55" s="420"/>
      <c r="O55" s="420"/>
      <c r="P55" s="420"/>
      <c r="Q55" s="420"/>
      <c r="R55" s="420"/>
      <c r="S55" s="420"/>
      <c r="T55" s="420"/>
      <c r="U55" s="420"/>
      <c r="V55" s="420"/>
      <c r="W55" s="420"/>
      <c r="X55" s="420"/>
      <c r="Y55" s="420"/>
      <c r="Z55" s="420"/>
      <c r="AA55" s="420"/>
      <c r="AB55" s="420"/>
      <c r="AC55" s="420"/>
      <c r="AD55" s="420"/>
      <c r="AE55" s="420"/>
      <c r="AF55" s="420"/>
      <c r="AG55" s="420"/>
      <c r="AH55" s="420"/>
      <c r="AI55" s="420"/>
      <c r="AJ55" s="420"/>
      <c r="AK55" s="420"/>
      <c r="AL55" s="420"/>
      <c r="AM55" s="420"/>
      <c r="AN55" s="420"/>
      <c r="AO55" s="420"/>
      <c r="AP55" s="549"/>
      <c r="XFA55" s="335"/>
    </row>
    <row r="56" spans="1:42 16381:16381" s="336" customFormat="1" ht="15" customHeight="1">
      <c r="A56" s="415"/>
      <c r="B56" s="416"/>
      <c r="C56" s="416"/>
      <c r="D56" s="354"/>
      <c r="E56" s="370"/>
      <c r="F56" s="415"/>
      <c r="G56" s="334"/>
      <c r="H56" s="417"/>
      <c r="I56" s="511"/>
      <c r="J56" s="418"/>
      <c r="K56" s="419"/>
      <c r="L56" s="418"/>
      <c r="M56" s="420"/>
      <c r="N56" s="420"/>
      <c r="O56" s="420"/>
      <c r="P56" s="420"/>
      <c r="Q56" s="420"/>
      <c r="R56" s="420"/>
      <c r="S56" s="420"/>
      <c r="T56" s="420"/>
      <c r="U56" s="420"/>
      <c r="V56" s="420"/>
      <c r="W56" s="420"/>
      <c r="X56" s="420"/>
      <c r="Y56" s="420"/>
      <c r="Z56" s="420"/>
      <c r="AA56" s="420"/>
      <c r="AB56" s="420"/>
      <c r="AC56" s="420"/>
      <c r="AD56" s="420"/>
      <c r="AE56" s="420"/>
      <c r="AF56" s="420"/>
      <c r="AG56" s="420"/>
      <c r="AH56" s="420"/>
      <c r="AI56" s="420"/>
      <c r="AJ56" s="420"/>
      <c r="AK56" s="420"/>
      <c r="AL56" s="420"/>
      <c r="AM56" s="420"/>
      <c r="AN56" s="420"/>
      <c r="AO56" s="420"/>
      <c r="AP56" s="378" t="b">
        <f>SUM(M56:AO56)=L56</f>
        <v>1</v>
      </c>
      <c r="XFA56" s="335"/>
    </row>
    <row r="57" spans="1:42 16381:16381" s="336" customFormat="1" ht="15" customHeight="1">
      <c r="A57" s="415"/>
      <c r="B57" s="416"/>
      <c r="C57" s="416"/>
      <c r="D57" s="354"/>
      <c r="E57" s="370"/>
      <c r="F57" s="415"/>
      <c r="G57" s="334"/>
      <c r="H57" s="417"/>
      <c r="I57" s="511"/>
      <c r="J57" s="418"/>
      <c r="K57" s="419"/>
      <c r="L57" s="418"/>
      <c r="M57" s="420"/>
      <c r="N57" s="420"/>
      <c r="O57" s="420"/>
      <c r="P57" s="420"/>
      <c r="Q57" s="420"/>
      <c r="R57" s="420"/>
      <c r="S57" s="420"/>
      <c r="T57" s="420"/>
      <c r="U57" s="420"/>
      <c r="V57" s="420"/>
      <c r="W57" s="420"/>
      <c r="X57" s="420"/>
      <c r="Y57" s="420"/>
      <c r="Z57" s="420"/>
      <c r="AA57" s="420"/>
      <c r="AB57" s="420"/>
      <c r="AC57" s="420"/>
      <c r="AD57" s="420"/>
      <c r="AE57" s="420"/>
      <c r="AF57" s="420"/>
      <c r="AG57" s="420"/>
      <c r="AH57" s="420"/>
      <c r="AI57" s="420"/>
      <c r="AJ57" s="420"/>
      <c r="AK57" s="420"/>
      <c r="AL57" s="420"/>
      <c r="AM57" s="420"/>
      <c r="AN57" s="420"/>
      <c r="AO57" s="420"/>
      <c r="AP57" s="378" t="b">
        <f>SUM(M57:AO57)=L57</f>
        <v>1</v>
      </c>
      <c r="XFA57" s="335"/>
    </row>
    <row r="58" spans="1:42 16381:16381">
      <c r="E58" s="3"/>
      <c r="G58" s="167"/>
      <c r="H58" s="178"/>
      <c r="I58" s="178"/>
      <c r="J58" s="165"/>
      <c r="M58" s="165"/>
      <c r="N58" s="165"/>
    </row>
    <row r="59" spans="1:42 16381:16381">
      <c r="E59" s="3"/>
      <c r="G59" s="167"/>
      <c r="J59" s="165"/>
      <c r="M59" s="165"/>
      <c r="N59" s="165"/>
    </row>
    <row r="60" spans="1:42 16381:16381">
      <c r="E60" s="3"/>
      <c r="G60" s="167"/>
      <c r="H60" s="165" t="s">
        <v>8</v>
      </c>
      <c r="J60" s="165"/>
      <c r="M60" s="165"/>
      <c r="N60" s="165"/>
    </row>
    <row r="61" spans="1:42 16381:16381">
      <c r="E61" s="3"/>
      <c r="G61" s="167"/>
      <c r="J61" s="165"/>
      <c r="M61" s="165"/>
      <c r="N61" s="165"/>
    </row>
    <row r="62" spans="1:42 16381:16381">
      <c r="E62" s="3"/>
      <c r="M62" s="165"/>
      <c r="N62" s="165"/>
    </row>
    <row r="63" spans="1:42 16381:16381">
      <c r="E63" s="3"/>
      <c r="M63" s="165"/>
      <c r="N63" s="165"/>
    </row>
    <row r="64" spans="1:42 16381:16381">
      <c r="E64" s="3"/>
      <c r="M64" s="165"/>
      <c r="N64" s="165"/>
    </row>
    <row r="65" spans="5:14">
      <c r="E65" s="3"/>
      <c r="M65" s="165"/>
      <c r="N65" s="165"/>
    </row>
    <row r="66" spans="5:14">
      <c r="E66" s="3"/>
      <c r="M66" s="165"/>
      <c r="N66" s="165"/>
    </row>
    <row r="67" spans="5:14">
      <c r="E67" s="3"/>
      <c r="M67" s="165"/>
      <c r="N67" s="165"/>
    </row>
    <row r="68" spans="5:14">
      <c r="E68" s="3"/>
      <c r="M68" s="165"/>
      <c r="N68" s="165"/>
    </row>
    <row r="69" spans="5:14">
      <c r="E69" s="3"/>
      <c r="M69" s="165"/>
      <c r="N69" s="165"/>
    </row>
    <row r="70" spans="5:14">
      <c r="E70" s="3"/>
      <c r="M70" s="165"/>
      <c r="N70" s="165"/>
    </row>
    <row r="71" spans="5:14">
      <c r="E71" s="3"/>
      <c r="M71" s="165"/>
      <c r="N71" s="165"/>
    </row>
    <row r="72" spans="5:14">
      <c r="E72" s="3"/>
      <c r="M72" s="165"/>
      <c r="N72" s="165"/>
    </row>
    <row r="73" spans="5:14">
      <c r="E73" s="3"/>
      <c r="M73" s="165"/>
      <c r="N73" s="165"/>
    </row>
    <row r="74" spans="5:14">
      <c r="E74" s="3"/>
      <c r="M74" s="165"/>
      <c r="N74" s="165"/>
    </row>
    <row r="75" spans="5:14">
      <c r="E75" s="3"/>
      <c r="M75" s="165"/>
      <c r="N75" s="165"/>
    </row>
    <row r="76" spans="5:14">
      <c r="E76" s="3"/>
      <c r="M76" s="165"/>
      <c r="N76" s="165"/>
    </row>
    <row r="77" spans="5:14">
      <c r="M77" s="165"/>
      <c r="N77" s="165"/>
    </row>
    <row r="78" spans="5:14">
      <c r="M78" s="165"/>
      <c r="N78" s="165"/>
    </row>
    <row r="79" spans="5:14">
      <c r="M79" s="165"/>
      <c r="N79" s="165"/>
    </row>
    <row r="80" spans="5:14">
      <c r="M80" s="165"/>
      <c r="N80" s="165"/>
    </row>
    <row r="81" spans="13:14">
      <c r="M81" s="165"/>
      <c r="N81" s="165"/>
    </row>
    <row r="82" spans="13:14">
      <c r="M82" s="165"/>
      <c r="N82" s="165"/>
    </row>
    <row r="83" spans="13:14">
      <c r="M83" s="165"/>
      <c r="N83" s="165"/>
    </row>
    <row r="84" spans="13:14">
      <c r="M84" s="165"/>
      <c r="N84" s="165"/>
    </row>
    <row r="85" spans="13:14">
      <c r="M85" s="165"/>
      <c r="N85" s="165"/>
    </row>
    <row r="86" spans="13:14">
      <c r="M86" s="165"/>
      <c r="N86" s="165"/>
    </row>
    <row r="87" spans="13:14">
      <c r="M87" s="165"/>
      <c r="N87" s="165"/>
    </row>
    <row r="88" spans="13:14">
      <c r="M88" s="165"/>
      <c r="N88" s="165"/>
    </row>
    <row r="89" spans="13:14">
      <c r="M89" s="165"/>
      <c r="N89" s="165"/>
    </row>
    <row r="90" spans="13:14">
      <c r="M90" s="165"/>
      <c r="N90" s="165"/>
    </row>
    <row r="91" spans="13:14">
      <c r="M91" s="165"/>
      <c r="N91" s="165"/>
    </row>
    <row r="92" spans="13:14">
      <c r="M92" s="165"/>
      <c r="N92" s="165"/>
    </row>
    <row r="93" spans="13:14">
      <c r="M93" s="165"/>
      <c r="N93" s="165"/>
    </row>
    <row r="94" spans="13:14">
      <c r="M94" s="165"/>
      <c r="N94" s="165"/>
    </row>
    <row r="95" spans="13:14">
      <c r="M95" s="165"/>
      <c r="N95" s="165"/>
    </row>
    <row r="96" spans="13:14">
      <c r="M96" s="165"/>
      <c r="N96" s="165"/>
    </row>
    <row r="97" spans="13:14">
      <c r="M97" s="165"/>
      <c r="N97" s="165"/>
    </row>
    <row r="98" spans="13:14">
      <c r="M98" s="165"/>
      <c r="N98" s="165"/>
    </row>
    <row r="99" spans="13:14">
      <c r="M99" s="165"/>
      <c r="N99" s="165"/>
    </row>
    <row r="100" spans="13:14">
      <c r="M100" s="165"/>
      <c r="N100" s="165"/>
    </row>
    <row r="101" spans="13:14">
      <c r="M101" s="165"/>
      <c r="N101" s="165"/>
    </row>
    <row r="102" spans="13:14">
      <c r="M102" s="165"/>
      <c r="N102" s="165"/>
    </row>
    <row r="103" spans="13:14">
      <c r="M103" s="165"/>
      <c r="N103" s="165"/>
    </row>
    <row r="104" spans="13:14">
      <c r="M104" s="165"/>
      <c r="N104" s="165"/>
    </row>
    <row r="105" spans="13:14">
      <c r="M105" s="165"/>
      <c r="N105" s="165"/>
    </row>
    <row r="106" spans="13:14">
      <c r="M106" s="165"/>
      <c r="N106" s="165"/>
    </row>
    <row r="107" spans="13:14">
      <c r="M107" s="165"/>
      <c r="N107" s="165"/>
    </row>
    <row r="108" spans="13:14">
      <c r="M108" s="165"/>
      <c r="N108" s="165"/>
    </row>
    <row r="109" spans="13:14">
      <c r="M109" s="165"/>
      <c r="N109" s="165"/>
    </row>
    <row r="110" spans="13:14">
      <c r="M110" s="165"/>
      <c r="N110" s="165"/>
    </row>
    <row r="111" spans="13:14">
      <c r="M111" s="165"/>
      <c r="N111" s="165"/>
    </row>
    <row r="112" spans="13:14">
      <c r="M112" s="165"/>
      <c r="N112" s="165"/>
    </row>
    <row r="113" spans="13:14">
      <c r="M113" s="165"/>
      <c r="N113" s="165"/>
    </row>
    <row r="114" spans="13:14">
      <c r="M114" s="165"/>
      <c r="N114" s="165"/>
    </row>
    <row r="115" spans="13:14">
      <c r="M115" s="165"/>
      <c r="N115" s="165"/>
    </row>
    <row r="116" spans="13:14">
      <c r="M116" s="165"/>
      <c r="N116" s="165"/>
    </row>
    <row r="117" spans="13:14">
      <c r="M117" s="165"/>
      <c r="N117" s="165"/>
    </row>
    <row r="118" spans="13:14">
      <c r="M118" s="165"/>
      <c r="N118" s="165"/>
    </row>
    <row r="119" spans="13:14">
      <c r="M119" s="165"/>
      <c r="N119" s="165"/>
    </row>
    <row r="120" spans="13:14">
      <c r="M120" s="165"/>
      <c r="N120" s="165"/>
    </row>
    <row r="121" spans="13:14">
      <c r="M121" s="165"/>
      <c r="N121" s="165"/>
    </row>
    <row r="122" spans="13:14">
      <c r="M122" s="165"/>
      <c r="N122" s="165"/>
    </row>
    <row r="123" spans="13:14">
      <c r="M123" s="165"/>
      <c r="N123" s="165"/>
    </row>
    <row r="124" spans="13:14">
      <c r="M124" s="165"/>
      <c r="N124" s="165"/>
    </row>
    <row r="125" spans="13:14">
      <c r="M125" s="165"/>
      <c r="N125" s="165"/>
    </row>
    <row r="126" spans="13:14">
      <c r="M126" s="165"/>
      <c r="N126" s="165"/>
    </row>
    <row r="127" spans="13:14">
      <c r="M127" s="165"/>
      <c r="N127" s="165"/>
    </row>
    <row r="128" spans="13:14">
      <c r="M128" s="165"/>
      <c r="N128" s="165"/>
    </row>
    <row r="129" spans="13:14">
      <c r="M129" s="165"/>
      <c r="N129" s="165"/>
    </row>
    <row r="130" spans="13:14">
      <c r="M130" s="165"/>
      <c r="N130" s="165"/>
    </row>
    <row r="131" spans="13:14">
      <c r="M131" s="165"/>
      <c r="N131" s="165"/>
    </row>
    <row r="132" spans="13:14">
      <c r="M132" s="165"/>
      <c r="N132" s="165"/>
    </row>
    <row r="133" spans="13:14">
      <c r="M133" s="165"/>
      <c r="N133" s="165"/>
    </row>
    <row r="134" spans="13:14">
      <c r="M134" s="165"/>
      <c r="N134" s="165"/>
    </row>
    <row r="135" spans="13:14">
      <c r="M135" s="165"/>
      <c r="N135" s="165"/>
    </row>
    <row r="136" spans="13:14">
      <c r="M136" s="165"/>
      <c r="N136" s="165"/>
    </row>
    <row r="137" spans="13:14">
      <c r="M137" s="165"/>
      <c r="N137" s="165"/>
    </row>
    <row r="138" spans="13:14">
      <c r="M138" s="165"/>
      <c r="N138" s="165"/>
    </row>
    <row r="139" spans="13:14">
      <c r="M139" s="165"/>
      <c r="N139" s="165"/>
    </row>
    <row r="140" spans="13:14">
      <c r="M140" s="165"/>
      <c r="N140" s="165"/>
    </row>
    <row r="141" spans="13:14">
      <c r="M141" s="165"/>
      <c r="N141" s="165"/>
    </row>
    <row r="142" spans="13:14">
      <c r="M142" s="165"/>
      <c r="N142" s="165"/>
    </row>
    <row r="143" spans="13:14">
      <c r="M143" s="165"/>
      <c r="N143" s="165"/>
    </row>
    <row r="144" spans="13:14">
      <c r="M144" s="165"/>
      <c r="N144" s="165"/>
    </row>
    <row r="145" spans="13:14">
      <c r="M145" s="165"/>
      <c r="N145" s="165"/>
    </row>
    <row r="146" spans="13:14">
      <c r="M146" s="165"/>
      <c r="N146" s="165"/>
    </row>
    <row r="147" spans="13:14">
      <c r="M147" s="165"/>
      <c r="N147" s="165"/>
    </row>
    <row r="148" spans="13:14">
      <c r="M148" s="165"/>
      <c r="N148" s="165"/>
    </row>
    <row r="149" spans="13:14">
      <c r="M149" s="165"/>
      <c r="N149" s="165"/>
    </row>
    <row r="150" spans="13:14">
      <c r="M150" s="165"/>
      <c r="N150" s="165"/>
    </row>
    <row r="151" spans="13:14">
      <c r="M151" s="165"/>
      <c r="N151" s="165"/>
    </row>
    <row r="152" spans="13:14">
      <c r="M152" s="165"/>
      <c r="N152" s="165"/>
    </row>
    <row r="153" spans="13:14">
      <c r="M153" s="165"/>
      <c r="N153" s="165"/>
    </row>
    <row r="154" spans="13:14">
      <c r="M154" s="165"/>
      <c r="N154" s="165"/>
    </row>
    <row r="155" spans="13:14">
      <c r="M155" s="165"/>
      <c r="N155" s="165"/>
    </row>
    <row r="156" spans="13:14">
      <c r="M156" s="165"/>
      <c r="N156" s="165"/>
    </row>
    <row r="157" spans="13:14">
      <c r="M157" s="165"/>
      <c r="N157" s="165"/>
    </row>
    <row r="158" spans="13:14">
      <c r="M158" s="165"/>
      <c r="N158" s="165"/>
    </row>
    <row r="159" spans="13:14">
      <c r="M159" s="165"/>
      <c r="N159" s="165"/>
    </row>
    <row r="160" spans="13:14">
      <c r="M160" s="165"/>
      <c r="N160" s="165"/>
    </row>
    <row r="161" spans="13:14">
      <c r="M161" s="165"/>
      <c r="N161" s="165"/>
    </row>
    <row r="162" spans="13:14">
      <c r="M162" s="165"/>
      <c r="N162" s="165"/>
    </row>
    <row r="163" spans="13:14">
      <c r="M163" s="165"/>
      <c r="N163" s="165"/>
    </row>
    <row r="164" spans="13:14">
      <c r="M164" s="165"/>
      <c r="N164" s="165"/>
    </row>
    <row r="165" spans="13:14">
      <c r="M165" s="165"/>
      <c r="N165" s="165"/>
    </row>
    <row r="166" spans="13:14">
      <c r="M166" s="165"/>
      <c r="N166" s="165"/>
    </row>
    <row r="167" spans="13:14">
      <c r="M167" s="165"/>
      <c r="N167" s="165"/>
    </row>
    <row r="168" spans="13:14">
      <c r="M168" s="165"/>
      <c r="N168" s="165"/>
    </row>
    <row r="169" spans="13:14">
      <c r="M169" s="165"/>
      <c r="N169" s="165"/>
    </row>
    <row r="170" spans="13:14">
      <c r="M170" s="165"/>
      <c r="N170" s="165"/>
    </row>
    <row r="171" spans="13:14">
      <c r="M171" s="165"/>
      <c r="N171" s="165"/>
    </row>
    <row r="172" spans="13:14">
      <c r="M172" s="165"/>
      <c r="N172" s="165"/>
    </row>
    <row r="173" spans="13:14">
      <c r="M173" s="165"/>
      <c r="N173" s="165"/>
    </row>
    <row r="174" spans="13:14">
      <c r="M174" s="165"/>
      <c r="N174" s="165"/>
    </row>
    <row r="175" spans="13:14">
      <c r="M175" s="165"/>
      <c r="N175" s="165"/>
    </row>
    <row r="176" spans="13:14">
      <c r="M176" s="165"/>
      <c r="N176" s="165"/>
    </row>
    <row r="177" spans="13:14">
      <c r="M177" s="165"/>
      <c r="N177" s="165"/>
    </row>
    <row r="178" spans="13:14">
      <c r="M178" s="165"/>
      <c r="N178" s="165"/>
    </row>
    <row r="179" spans="13:14">
      <c r="M179" s="165"/>
      <c r="N179" s="165"/>
    </row>
    <row r="180" spans="13:14">
      <c r="M180" s="165"/>
      <c r="N180" s="165"/>
    </row>
    <row r="181" spans="13:14">
      <c r="M181" s="165"/>
      <c r="N181" s="165"/>
    </row>
    <row r="182" spans="13:14">
      <c r="M182" s="165"/>
      <c r="N182" s="165"/>
    </row>
    <row r="183" spans="13:14">
      <c r="M183" s="165"/>
      <c r="N183" s="165"/>
    </row>
    <row r="184" spans="13:14">
      <c r="M184" s="165"/>
      <c r="N184" s="165"/>
    </row>
    <row r="185" spans="13:14">
      <c r="M185" s="165"/>
      <c r="N185" s="165"/>
    </row>
    <row r="186" spans="13:14">
      <c r="M186" s="165"/>
      <c r="N186" s="165"/>
    </row>
    <row r="187" spans="13:14">
      <c r="M187" s="165"/>
      <c r="N187" s="165"/>
    </row>
  </sheetData>
  <sortState ref="K15:AL15">
    <sortCondition ref="K15"/>
  </sortState>
  <customSheetViews>
    <customSheetView guid="{D77C52FB-56C3-AF47-AD29-EE07F130855B}" scale="110" fitToPage="1" hiddenColumns="1" topLeftCell="U1">
      <pane ySplit="4" topLeftCell="A58" activePane="bottomLeft" state="frozenSplit"/>
      <selection pane="bottomLeft" activeCell="M79" sqref="M79"/>
      <pageMargins left="0.70866141732283472" right="0.70866141732283472" top="0.74803149606299213" bottom="0.74803149606299213" header="0.31496062992125984" footer="0.31496062992125984"/>
      <pageSetup paperSize="8" scale="50" fitToWidth="2" orientation="landscape" r:id="rId1"/>
    </customSheetView>
  </customSheetViews>
  <phoneticPr fontId="27" type="noConversion"/>
  <pageMargins left="0.70866141732283472" right="0.70866141732283472" top="0.74803149606299213" bottom="0.74803149606299213" header="0.31496062992125984" footer="0.31496062992125984"/>
  <pageSetup paperSize="9" scale="40" fitToWidth="2" orientation="landscape" r:id="rId2"/>
  <ignoredErrors>
    <ignoredError sqref="B16:B18 A19:B25 A27:A30 A32:A34 A5:A11 A36:A39 A45 B51 B46:B50 A46:A49 A51 B26:B30 B41:B42 B31:B40 B43:B45 A52:B52" twoDigitTextYear="1"/>
    <ignoredError sqref="L34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9D737B-863D-1341-95F5-67AB4633EF84}">
  <dimension ref="A1:G19"/>
  <sheetViews>
    <sheetView zoomScale="150" zoomScaleNormal="221" workbookViewId="0">
      <selection activeCell="A19" sqref="A19"/>
    </sheetView>
  </sheetViews>
  <sheetFormatPr baseColWidth="10" defaultRowHeight="14"/>
  <cols>
    <col min="1" max="1" width="14.1640625" style="218" bestFit="1" customWidth="1"/>
    <col min="2" max="16384" width="10.83203125" style="218"/>
  </cols>
  <sheetData>
    <row r="1" spans="1:7" ht="16">
      <c r="A1" s="219" t="s">
        <v>411</v>
      </c>
    </row>
    <row r="2" spans="1:7">
      <c r="B2" s="218" t="s">
        <v>10</v>
      </c>
      <c r="C2" s="218" t="s">
        <v>400</v>
      </c>
      <c r="D2" s="218" t="s">
        <v>401</v>
      </c>
    </row>
    <row r="3" spans="1:7">
      <c r="A3" s="218" t="s">
        <v>399</v>
      </c>
      <c r="B3" s="521">
        <f>400-100</f>
        <v>300</v>
      </c>
      <c r="C3" s="521">
        <v>60</v>
      </c>
      <c r="D3" s="529">
        <f>C3+B3</f>
        <v>360</v>
      </c>
      <c r="E3" s="218" t="s">
        <v>408</v>
      </c>
    </row>
    <row r="4" spans="1:7">
      <c r="A4" s="218" t="s">
        <v>402</v>
      </c>
      <c r="B4" s="521">
        <v>25</v>
      </c>
      <c r="C4" s="521">
        <v>5</v>
      </c>
      <c r="D4" s="521">
        <f t="shared" ref="D4:D9" si="0">C4+B4</f>
        <v>30</v>
      </c>
    </row>
    <row r="5" spans="1:7">
      <c r="A5" s="218" t="s">
        <v>403</v>
      </c>
      <c r="B5" s="521">
        <v>3</v>
      </c>
      <c r="C5" s="521">
        <v>0.6</v>
      </c>
      <c r="D5" s="521">
        <f t="shared" si="0"/>
        <v>3.6</v>
      </c>
    </row>
    <row r="6" spans="1:7">
      <c r="A6" s="218" t="s">
        <v>404</v>
      </c>
      <c r="B6" s="521">
        <v>20</v>
      </c>
      <c r="C6" s="521">
        <v>0</v>
      </c>
      <c r="D6" s="521">
        <f t="shared" si="0"/>
        <v>20</v>
      </c>
    </row>
    <row r="7" spans="1:7">
      <c r="A7" s="218" t="s">
        <v>405</v>
      </c>
      <c r="B7" s="521">
        <v>15310</v>
      </c>
      <c r="C7" s="521">
        <v>0</v>
      </c>
      <c r="D7" s="521">
        <f t="shared" si="0"/>
        <v>15310</v>
      </c>
    </row>
    <row r="8" spans="1:7">
      <c r="A8" s="218" t="s">
        <v>406</v>
      </c>
      <c r="B8" s="521">
        <v>840.72</v>
      </c>
      <c r="C8" s="521">
        <v>0</v>
      </c>
      <c r="D8" s="521">
        <f t="shared" si="0"/>
        <v>840.72</v>
      </c>
    </row>
    <row r="9" spans="1:7">
      <c r="A9" s="218" t="s">
        <v>407</v>
      </c>
      <c r="B9" s="521">
        <v>3690</v>
      </c>
      <c r="C9" s="521">
        <v>0</v>
      </c>
      <c r="D9" s="521">
        <f t="shared" si="0"/>
        <v>3690</v>
      </c>
    </row>
    <row r="10" spans="1:7" ht="15" thickBot="1">
      <c r="B10" s="521"/>
      <c r="C10" s="521"/>
      <c r="D10" s="523">
        <f>SUM(D3:D9)</f>
        <v>20254.32</v>
      </c>
      <c r="G10" s="522" t="s">
        <v>8</v>
      </c>
    </row>
    <row r="11" spans="1:7" ht="15" thickTop="1"/>
    <row r="13" spans="1:7">
      <c r="A13" s="218" t="s">
        <v>409</v>
      </c>
      <c r="B13" s="521">
        <v>1000</v>
      </c>
      <c r="C13" s="521">
        <v>200</v>
      </c>
      <c r="D13" s="529">
        <f t="shared" ref="D13" si="1">C13+B13</f>
        <v>1200</v>
      </c>
    </row>
    <row r="14" spans="1:7">
      <c r="A14" s="218" t="s">
        <v>410</v>
      </c>
      <c r="B14" s="521">
        <v>14</v>
      </c>
      <c r="C14" s="521">
        <v>2.8</v>
      </c>
      <c r="D14" s="521">
        <f>C14+B14</f>
        <v>16.8</v>
      </c>
    </row>
    <row r="15" spans="1:7" ht="15" thickBot="1">
      <c r="B15" s="521"/>
      <c r="C15" s="521"/>
      <c r="D15" s="523">
        <f>SUM(D13:D14)</f>
        <v>1216.8</v>
      </c>
    </row>
    <row r="16" spans="1:7" ht="15" thickTop="1"/>
    <row r="17" spans="1:4" ht="15" thickBot="1">
      <c r="D17" s="528">
        <f>D15+D10</f>
        <v>21471.119999999999</v>
      </c>
    </row>
    <row r="18" spans="1:4" ht="15" thickTop="1"/>
    <row r="19" spans="1:4">
      <c r="A19" s="366" t="s">
        <v>415</v>
      </c>
    </row>
  </sheetData>
  <pageMargins left="0.7" right="0.7" top="0.75" bottom="0.75" header="0.3" footer="0.3"/>
  <pageSetup paperSize="9"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25762-ED46-A04C-B5AC-20071470F1AC}">
  <dimension ref="A1:D24"/>
  <sheetViews>
    <sheetView topLeftCell="A7" zoomScale="142" zoomScaleNormal="142" workbookViewId="0">
      <selection activeCell="C15" sqref="C15"/>
    </sheetView>
  </sheetViews>
  <sheetFormatPr baseColWidth="10" defaultRowHeight="14"/>
  <cols>
    <col min="1" max="1" width="47.83203125" style="218" customWidth="1"/>
    <col min="2" max="16384" width="10.83203125" style="218"/>
  </cols>
  <sheetData>
    <row r="1" spans="1:4" ht="16">
      <c r="A1" s="320" t="s">
        <v>313</v>
      </c>
    </row>
    <row r="3" spans="1:4" ht="16">
      <c r="B3" s="214"/>
      <c r="C3" s="280"/>
      <c r="D3" s="280"/>
    </row>
    <row r="4" spans="1:4" ht="16">
      <c r="A4" s="281" t="s">
        <v>281</v>
      </c>
      <c r="B4" s="316" t="s">
        <v>19</v>
      </c>
      <c r="C4" s="284" t="s">
        <v>18</v>
      </c>
      <c r="D4" s="316" t="s">
        <v>56</v>
      </c>
    </row>
    <row r="5" spans="1:4" ht="16">
      <c r="A5" s="216" t="s">
        <v>373</v>
      </c>
      <c r="B5" s="317">
        <f>10*15.02</f>
        <v>150.19999999999999</v>
      </c>
      <c r="C5" s="215" t="s">
        <v>8</v>
      </c>
      <c r="D5" s="317" t="s">
        <v>8</v>
      </c>
    </row>
    <row r="6" spans="1:4" ht="16">
      <c r="A6" s="216" t="s">
        <v>374</v>
      </c>
      <c r="B6" s="317">
        <f>10*15.02</f>
        <v>150.19999999999999</v>
      </c>
      <c r="C6" s="215"/>
      <c r="D6" s="317"/>
    </row>
    <row r="7" spans="1:4" ht="16">
      <c r="A7" s="216" t="s">
        <v>375</v>
      </c>
      <c r="B7" s="317">
        <f>10*15.02</f>
        <v>150.19999999999999</v>
      </c>
      <c r="C7" s="215"/>
      <c r="D7" s="317"/>
    </row>
    <row r="8" spans="1:4" ht="16">
      <c r="A8" s="216" t="s">
        <v>376</v>
      </c>
      <c r="B8" s="317">
        <f>10*15.02</f>
        <v>150.19999999999999</v>
      </c>
      <c r="C8" s="215"/>
      <c r="D8" s="317"/>
    </row>
    <row r="9" spans="1:4" ht="16">
      <c r="A9" s="216" t="s">
        <v>418</v>
      </c>
      <c r="B9" s="317" t="s">
        <v>8</v>
      </c>
      <c r="C9" s="215" t="s">
        <v>8</v>
      </c>
      <c r="D9" s="317">
        <f>SUM(B5:B9)</f>
        <v>600.79999999999995</v>
      </c>
    </row>
    <row r="10" spans="1:4" ht="16">
      <c r="A10" s="286" t="s">
        <v>91</v>
      </c>
      <c r="B10" s="318">
        <f>4*6</f>
        <v>24</v>
      </c>
      <c r="C10" s="283"/>
      <c r="D10" s="318" t="s">
        <v>8</v>
      </c>
    </row>
    <row r="11" spans="1:4" ht="16">
      <c r="A11" s="216" t="s">
        <v>266</v>
      </c>
      <c r="B11" s="317">
        <v>0</v>
      </c>
      <c r="C11" s="215"/>
      <c r="D11" s="317" t="s">
        <v>8</v>
      </c>
    </row>
    <row r="12" spans="1:4" ht="16">
      <c r="A12" s="285" t="s">
        <v>257</v>
      </c>
      <c r="B12" s="317" t="s">
        <v>8</v>
      </c>
      <c r="C12" s="215"/>
      <c r="D12" s="317" t="str">
        <f>B12</f>
        <v xml:space="preserve"> </v>
      </c>
    </row>
    <row r="13" spans="1:4" ht="16">
      <c r="A13" s="286" t="s">
        <v>380</v>
      </c>
      <c r="B13" s="317">
        <f>1.85*2</f>
        <v>3.7</v>
      </c>
      <c r="C13" s="215"/>
      <c r="D13" s="317">
        <f>B13</f>
        <v>3.7</v>
      </c>
    </row>
    <row r="14" spans="1:4" ht="16">
      <c r="A14" s="216" t="s">
        <v>377</v>
      </c>
      <c r="B14" s="317">
        <f>D14-C14</f>
        <v>452.81</v>
      </c>
      <c r="C14" s="215">
        <v>90.56</v>
      </c>
      <c r="D14" s="317">
        <v>543.37</v>
      </c>
    </row>
    <row r="15" spans="1:4" ht="16">
      <c r="A15" s="216" t="s">
        <v>417</v>
      </c>
      <c r="B15" s="317">
        <f>D15/1.2</f>
        <v>53.81666666666667</v>
      </c>
      <c r="C15" s="215">
        <f>B15*20%</f>
        <v>10.763333333333335</v>
      </c>
      <c r="D15" s="317">
        <v>64.58</v>
      </c>
    </row>
    <row r="16" spans="1:4" ht="17" thickBot="1">
      <c r="A16" s="219"/>
      <c r="B16" s="530">
        <f>SUM(B5:B14)</f>
        <v>1081.31</v>
      </c>
      <c r="C16" s="319">
        <f>SUM(C5:C14)</f>
        <v>90.56</v>
      </c>
      <c r="D16" s="530">
        <f>SUM(D5:D14)</f>
        <v>1147.8699999999999</v>
      </c>
    </row>
    <row r="17" spans="1:4" ht="17" thickTop="1">
      <c r="A17" s="219"/>
      <c r="B17" s="219"/>
      <c r="C17" s="219"/>
      <c r="D17" s="219"/>
    </row>
    <row r="18" spans="1:4" ht="16">
      <c r="A18" s="303" t="s">
        <v>130</v>
      </c>
      <c r="B18" s="304"/>
      <c r="C18" s="219"/>
      <c r="D18" s="219"/>
    </row>
    <row r="19" spans="1:4" ht="16">
      <c r="A19" s="287" t="s">
        <v>255</v>
      </c>
      <c r="B19" s="288">
        <v>46</v>
      </c>
      <c r="C19" s="219"/>
      <c r="D19" s="219"/>
    </row>
    <row r="20" spans="1:4" ht="16">
      <c r="A20" s="288" t="s">
        <v>129</v>
      </c>
      <c r="B20" s="288">
        <v>56</v>
      </c>
      <c r="C20" s="219"/>
      <c r="D20" s="219"/>
    </row>
    <row r="21" spans="1:4" ht="16">
      <c r="A21" s="288" t="s">
        <v>258</v>
      </c>
      <c r="B21" s="288">
        <v>0</v>
      </c>
      <c r="C21" s="219"/>
      <c r="D21" s="219"/>
    </row>
    <row r="22" spans="1:4" ht="16">
      <c r="A22" s="305" t="s">
        <v>131</v>
      </c>
      <c r="B22" s="305">
        <f>B19</f>
        <v>46</v>
      </c>
      <c r="C22" s="219"/>
      <c r="D22" s="219"/>
    </row>
    <row r="24" spans="1:4">
      <c r="A24" s="366"/>
    </row>
  </sheetData>
  <pageMargins left="0.7" right="0.7" top="0.75" bottom="0.75" header="0.3" footer="0.3"/>
  <pageSetup paperSize="9" orientation="landscape" horizontalDpi="0" verticalDpi="0" copies="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33D6AA-77FC-B144-8B4D-8350C5CE2910}">
  <sheetPr>
    <pageSetUpPr fitToPage="1"/>
  </sheetPr>
  <dimension ref="A1:AA111"/>
  <sheetViews>
    <sheetView zoomScale="135" zoomScaleNormal="132" zoomScalePageLayoutView="130" workbookViewId="0">
      <pane ySplit="3" topLeftCell="A33" activePane="bottomLeft" state="frozen"/>
      <selection pane="bottomLeft" activeCell="J63" sqref="A1:J63"/>
    </sheetView>
  </sheetViews>
  <sheetFormatPr baseColWidth="10" defaultColWidth="8.83203125" defaultRowHeight="18"/>
  <cols>
    <col min="1" max="1" width="45.6640625" style="1" customWidth="1"/>
    <col min="2" max="2" width="16.5" style="1" customWidth="1"/>
    <col min="3" max="3" width="17.33203125" style="1" customWidth="1"/>
    <col min="4" max="4" width="17.6640625" style="1" customWidth="1"/>
    <col min="5" max="5" width="17.5" style="1" hidden="1" customWidth="1"/>
    <col min="6" max="6" width="12" style="1" hidden="1" customWidth="1"/>
    <col min="7" max="7" width="51.1640625" style="1" hidden="1" customWidth="1"/>
    <col min="8" max="8" width="9.1640625" style="1" customWidth="1"/>
    <col min="9" max="9" width="16.5" style="486" bestFit="1" customWidth="1"/>
    <col min="10" max="10" width="16.1640625" style="1" customWidth="1"/>
    <col min="11" max="11" width="9.1640625" style="1" customWidth="1"/>
    <col min="12" max="12" width="11.5" style="1" bestFit="1" customWidth="1"/>
    <col min="13" max="13" width="11.6640625" style="1" bestFit="1" customWidth="1"/>
    <col min="14" max="14" width="2.33203125" style="1" hidden="1" customWidth="1"/>
    <col min="15" max="15" width="11.6640625" style="1" bestFit="1" customWidth="1"/>
    <col min="16" max="16" width="12.1640625" style="1" bestFit="1" customWidth="1"/>
    <col min="17" max="17" width="12.1640625" style="1" customWidth="1"/>
    <col min="18" max="18" width="13.33203125" style="1" bestFit="1" customWidth="1"/>
    <col min="19" max="19" width="12.33203125" style="1" customWidth="1"/>
    <col min="20" max="20" width="13.5" style="1" customWidth="1"/>
    <col min="21" max="21" width="0.1640625" style="1" customWidth="1"/>
    <col min="22" max="22" width="3" style="2" customWidth="1"/>
    <col min="23" max="23" width="11" style="1" bestFit="1" customWidth="1"/>
    <col min="24" max="24" width="25.33203125" style="1" bestFit="1" customWidth="1"/>
    <col min="25" max="25" width="11.33203125" style="1" bestFit="1" customWidth="1"/>
    <col min="26" max="16384" width="8.83203125" style="1"/>
  </cols>
  <sheetData>
    <row r="1" spans="1:27" s="4" customFormat="1" ht="19">
      <c r="A1" s="321" t="s">
        <v>264</v>
      </c>
      <c r="B1" s="322"/>
      <c r="C1" s="322"/>
      <c r="D1" s="323"/>
      <c r="E1" s="190"/>
      <c r="F1" s="191"/>
      <c r="G1" s="5"/>
      <c r="H1" s="5"/>
      <c r="I1" s="478"/>
      <c r="J1" s="5"/>
      <c r="K1" s="5"/>
      <c r="L1" s="5"/>
      <c r="T1" s="7"/>
      <c r="U1" s="7"/>
    </row>
    <row r="2" spans="1:27" s="4" customFormat="1" ht="19">
      <c r="A2" s="51" t="s">
        <v>8</v>
      </c>
      <c r="B2" s="5"/>
      <c r="C2" s="5"/>
      <c r="D2" s="5"/>
      <c r="E2" s="5"/>
      <c r="F2" s="5"/>
      <c r="G2" s="5"/>
      <c r="H2" s="5"/>
      <c r="I2" s="478"/>
      <c r="J2" s="5"/>
      <c r="K2" s="5"/>
      <c r="L2" s="5"/>
      <c r="T2" s="7"/>
      <c r="U2" s="7"/>
    </row>
    <row r="3" spans="1:27" s="44" customFormat="1" ht="60" customHeight="1">
      <c r="A3" s="45" t="s">
        <v>11</v>
      </c>
      <c r="B3" s="146" t="s">
        <v>222</v>
      </c>
      <c r="C3" s="106" t="s">
        <v>296</v>
      </c>
      <c r="D3" s="146" t="s">
        <v>223</v>
      </c>
      <c r="E3" s="49" t="s">
        <v>132</v>
      </c>
      <c r="F3" s="145" t="s">
        <v>76</v>
      </c>
      <c r="G3" s="45" t="s">
        <v>24</v>
      </c>
      <c r="H3" s="45"/>
      <c r="I3" s="479" t="s">
        <v>393</v>
      </c>
      <c r="J3" s="49" t="s">
        <v>394</v>
      </c>
      <c r="K3" s="45"/>
      <c r="L3" s="49" t="s">
        <v>67</v>
      </c>
      <c r="M3" s="49" t="s">
        <v>55</v>
      </c>
      <c r="N3" s="49" t="s">
        <v>63</v>
      </c>
      <c r="O3" s="49" t="s">
        <v>49</v>
      </c>
      <c r="T3" s="56"/>
      <c r="Y3" s="44" t="s">
        <v>8</v>
      </c>
      <c r="AA3" s="44" t="s">
        <v>8</v>
      </c>
    </row>
    <row r="4" spans="1:27" s="44" customFormat="1" ht="16">
      <c r="A4" s="46" t="str">
        <f>'Payments Receipts Cash Book'!M15</f>
        <v>Asset replacement</v>
      </c>
      <c r="B4" s="421">
        <f ca="1">'Payments Receipts Cash Book'!M53</f>
        <v>68.33</v>
      </c>
      <c r="C4" s="104">
        <v>3000</v>
      </c>
      <c r="D4" s="115">
        <f ca="1">C4-B4</f>
        <v>2931.67</v>
      </c>
      <c r="E4" s="75">
        <v>3000</v>
      </c>
      <c r="F4" s="141">
        <v>3000</v>
      </c>
      <c r="G4" s="151" t="s">
        <v>107</v>
      </c>
      <c r="H4" s="46"/>
      <c r="I4" s="480">
        <v>3250</v>
      </c>
      <c r="J4" s="75">
        <f t="shared" ref="J4:J7" si="0">I4-C4</f>
        <v>250</v>
      </c>
      <c r="K4" s="46"/>
      <c r="L4" s="186">
        <v>1380.36</v>
      </c>
      <c r="M4" s="186">
        <v>781.67</v>
      </c>
      <c r="N4" s="82">
        <f>-92.5+-7.44</f>
        <v>-99.94</v>
      </c>
      <c r="O4" s="187">
        <v>0</v>
      </c>
      <c r="S4" s="56"/>
      <c r="T4" s="58"/>
      <c r="U4" s="56"/>
      <c r="V4" s="52"/>
      <c r="W4" s="44" t="s">
        <v>8</v>
      </c>
      <c r="Y4" s="44" t="s">
        <v>8</v>
      </c>
      <c r="AA4" s="44" t="s">
        <v>8</v>
      </c>
    </row>
    <row r="5" spans="1:27" s="44" customFormat="1" ht="16">
      <c r="A5" s="46" t="str">
        <f>'Payments Receipts Cash Book'!N15</f>
        <v>Audit</v>
      </c>
      <c r="B5" s="423">
        <f ca="1">'Payments Receipts Cash Book'!N53</f>
        <v>462.31</v>
      </c>
      <c r="C5" s="362">
        <f>550-391.45+346.25</f>
        <v>504.8</v>
      </c>
      <c r="D5" s="363">
        <f t="shared" ref="D5:D35" ca="1" si="1">C5-B5</f>
        <v>42.490000000000009</v>
      </c>
      <c r="E5" s="75">
        <f ca="1">B5+240</f>
        <v>702.31</v>
      </c>
      <c r="F5" s="141">
        <f>240+SUM(158.55*111%)</f>
        <v>415.9905</v>
      </c>
      <c r="G5" s="151" t="s">
        <v>106</v>
      </c>
      <c r="H5" s="75"/>
      <c r="I5" s="480">
        <f ca="1">B5*9%+B5</f>
        <v>503.91790000000003</v>
      </c>
      <c r="J5" s="75">
        <f t="shared" ca="1" si="0"/>
        <v>-0.8820999999999799</v>
      </c>
      <c r="K5" s="75"/>
      <c r="L5" s="186">
        <v>158.55000000000001</v>
      </c>
      <c r="M5" s="186">
        <v>444</v>
      </c>
      <c r="N5" s="82"/>
      <c r="O5" s="186">
        <v>435</v>
      </c>
      <c r="S5" s="56"/>
      <c r="T5" s="58"/>
      <c r="V5" s="52"/>
      <c r="W5" s="44" t="s">
        <v>8</v>
      </c>
      <c r="Y5" s="44" t="s">
        <v>8</v>
      </c>
      <c r="AA5" s="44" t="s">
        <v>21</v>
      </c>
    </row>
    <row r="6" spans="1:27" s="44" customFormat="1" ht="16">
      <c r="A6" s="395" t="s">
        <v>352</v>
      </c>
      <c r="B6" s="423">
        <f ca="1">'Payments Receipts Cash Book'!Y53</f>
        <v>80</v>
      </c>
      <c r="C6" s="362">
        <v>0</v>
      </c>
      <c r="D6" s="363">
        <f t="shared" ca="1" si="1"/>
        <v>-80</v>
      </c>
      <c r="E6" s="75"/>
      <c r="F6" s="141"/>
      <c r="G6" s="151"/>
      <c r="H6" s="75"/>
      <c r="I6" s="480">
        <v>175</v>
      </c>
      <c r="J6" s="75">
        <f t="shared" si="0"/>
        <v>175</v>
      </c>
      <c r="K6" s="75"/>
      <c r="L6" s="186"/>
      <c r="M6" s="186"/>
      <c r="N6" s="82"/>
      <c r="O6" s="186"/>
      <c r="S6" s="56"/>
      <c r="T6" s="58"/>
      <c r="V6" s="52"/>
    </row>
    <row r="7" spans="1:27" s="44" customFormat="1" ht="16">
      <c r="A7" s="46" t="str">
        <f>'Payments Receipts Cash Book'!P15</f>
        <v>Bins</v>
      </c>
      <c r="B7" s="423">
        <f ca="1">'Payments Receipts Cash Book'!P53</f>
        <v>577.69000000000005</v>
      </c>
      <c r="C7" s="104">
        <v>539.92999999999995</v>
      </c>
      <c r="D7" s="115">
        <f t="shared" ca="1" si="1"/>
        <v>-37.760000000000105</v>
      </c>
      <c r="E7" s="75">
        <f ca="1">B7</f>
        <v>577.69000000000005</v>
      </c>
      <c r="F7" s="141">
        <f ca="1">B7*112%+0.24</f>
        <v>647.25280000000009</v>
      </c>
      <c r="G7" s="151" t="s">
        <v>126</v>
      </c>
      <c r="H7" s="75"/>
      <c r="I7" s="480">
        <f ca="1">B7*9%+B7</f>
        <v>629.6821000000001</v>
      </c>
      <c r="J7" s="75">
        <f t="shared" ca="1" si="0"/>
        <v>89.752100000000155</v>
      </c>
      <c r="K7" s="75"/>
      <c r="L7" s="186">
        <v>539.92999999999995</v>
      </c>
      <c r="M7" s="186">
        <v>539.92999999999995</v>
      </c>
      <c r="N7" s="82"/>
      <c r="O7" s="186">
        <v>524.27</v>
      </c>
      <c r="S7" s="56"/>
      <c r="V7" s="52"/>
      <c r="W7" s="44" t="s">
        <v>8</v>
      </c>
      <c r="Y7" s="44" t="s">
        <v>8</v>
      </c>
      <c r="AA7" s="44" t="s">
        <v>8</v>
      </c>
    </row>
    <row r="8" spans="1:27" s="44" customFormat="1" ht="16">
      <c r="A8" s="46" t="str">
        <f>'Payments Receipts Cash Book'!Q15</f>
        <v>BVN</v>
      </c>
      <c r="B8" s="423">
        <f ca="1">'Payments Receipts Cash Book'!Q53</f>
        <v>1014</v>
      </c>
      <c r="C8" s="278">
        <f>1000-310+138+431</f>
        <v>1259</v>
      </c>
      <c r="D8" s="279">
        <f t="shared" ca="1" si="1"/>
        <v>245</v>
      </c>
      <c r="E8" s="75">
        <f>232*6</f>
        <v>1392</v>
      </c>
      <c r="F8" s="141">
        <f>138*6</f>
        <v>828</v>
      </c>
      <c r="G8" s="151" t="s">
        <v>105</v>
      </c>
      <c r="H8" s="46"/>
      <c r="I8" s="480">
        <f>SUM(275*6)*9%+SUM(275*6)</f>
        <v>1798.5</v>
      </c>
      <c r="J8" s="75">
        <f>I8-C8</f>
        <v>539.5</v>
      </c>
      <c r="K8" s="46"/>
      <c r="L8" s="186">
        <v>1027</v>
      </c>
      <c r="M8" s="186">
        <v>507</v>
      </c>
      <c r="N8" s="82"/>
      <c r="O8" s="187">
        <v>1128</v>
      </c>
      <c r="S8" s="56"/>
      <c r="T8" s="44" t="s">
        <v>52</v>
      </c>
      <c r="V8" s="52"/>
    </row>
    <row r="9" spans="1:27" s="44" customFormat="1" ht="16">
      <c r="A9" s="516" t="s">
        <v>351</v>
      </c>
      <c r="B9" s="423">
        <v>0</v>
      </c>
      <c r="C9" s="278">
        <v>0</v>
      </c>
      <c r="D9" s="279">
        <v>0</v>
      </c>
      <c r="E9" s="75"/>
      <c r="F9" s="141"/>
      <c r="G9" s="151"/>
      <c r="H9" s="46"/>
      <c r="I9" s="480">
        <v>175</v>
      </c>
      <c r="J9" s="75">
        <f>I9-C9</f>
        <v>175</v>
      </c>
      <c r="K9" s="46"/>
      <c r="L9" s="186"/>
      <c r="M9" s="186"/>
      <c r="N9" s="82"/>
      <c r="O9" s="187"/>
      <c r="S9" s="56"/>
      <c r="V9" s="52"/>
    </row>
    <row r="10" spans="1:27" s="44" customFormat="1" ht="16">
      <c r="A10" s="46" t="str">
        <f>'Payments Receipts Cash Book'!R15</f>
        <v>CSW</v>
      </c>
      <c r="B10" s="423">
        <f ca="1">'Payments Receipts Cash Book'!R53</f>
        <v>332.5</v>
      </c>
      <c r="C10" s="278">
        <v>600</v>
      </c>
      <c r="D10" s="279">
        <f t="shared" ca="1" si="1"/>
        <v>267.5</v>
      </c>
      <c r="E10" s="75">
        <f>C10</f>
        <v>600</v>
      </c>
      <c r="F10" s="141">
        <v>1000</v>
      </c>
      <c r="G10" s="151" t="s">
        <v>118</v>
      </c>
      <c r="H10" s="46"/>
      <c r="I10" s="480">
        <f>600</f>
        <v>600</v>
      </c>
      <c r="J10" s="75">
        <f t="shared" ref="J10:J35" si="2">I10-C10</f>
        <v>0</v>
      </c>
      <c r="K10" s="46"/>
      <c r="L10" s="186">
        <v>16.8</v>
      </c>
      <c r="M10" s="186">
        <v>0</v>
      </c>
      <c r="N10" s="82">
        <v>100</v>
      </c>
      <c r="O10" s="187">
        <v>0</v>
      </c>
      <c r="S10" s="56"/>
      <c r="V10" s="52"/>
      <c r="W10" s="44" t="s">
        <v>21</v>
      </c>
      <c r="Y10" s="44" t="s">
        <v>8</v>
      </c>
      <c r="AA10" s="44" t="s">
        <v>8</v>
      </c>
    </row>
    <row r="11" spans="1:27" s="44" customFormat="1" ht="16">
      <c r="A11" s="46" t="str">
        <f>'Payments Receipts Cash Book'!S15</f>
        <v xml:space="preserve">Data Protection </v>
      </c>
      <c r="B11" s="421">
        <f ca="1">'Payments Receipts Cash Book'!S53</f>
        <v>35</v>
      </c>
      <c r="C11" s="278">
        <f>40-5</f>
        <v>35</v>
      </c>
      <c r="D11" s="279">
        <f t="shared" ca="1" si="1"/>
        <v>0</v>
      </c>
      <c r="E11" s="75">
        <v>35</v>
      </c>
      <c r="F11" s="141">
        <f>35*111%</f>
        <v>38.85</v>
      </c>
      <c r="G11" s="148" t="s">
        <v>77</v>
      </c>
      <c r="H11" s="75"/>
      <c r="I11" s="480">
        <f>40</f>
        <v>40</v>
      </c>
      <c r="J11" s="75">
        <f t="shared" si="2"/>
        <v>5</v>
      </c>
      <c r="K11" s="75"/>
      <c r="L11" s="186">
        <v>35</v>
      </c>
      <c r="M11" s="186">
        <v>40</v>
      </c>
      <c r="N11" s="82">
        <v>3.66</v>
      </c>
      <c r="O11" s="187">
        <v>40</v>
      </c>
      <c r="S11" s="56"/>
      <c r="V11" s="52"/>
      <c r="W11" s="44" t="s">
        <v>8</v>
      </c>
      <c r="Y11" s="44" t="s">
        <v>8</v>
      </c>
      <c r="AA11" s="44" t="s">
        <v>8</v>
      </c>
    </row>
    <row r="12" spans="1:27" s="44" customFormat="1" ht="16">
      <c r="A12" s="151" t="s">
        <v>85</v>
      </c>
      <c r="B12" s="421">
        <f ca="1">'Payments Receipts Cash Book'!T53</f>
        <v>96</v>
      </c>
      <c r="C12" s="278">
        <v>100</v>
      </c>
      <c r="D12" s="279">
        <f t="shared" ca="1" si="1"/>
        <v>4</v>
      </c>
      <c r="E12" s="75">
        <f>C12</f>
        <v>100</v>
      </c>
      <c r="F12" s="141">
        <v>750</v>
      </c>
      <c r="G12" s="151" t="s">
        <v>107</v>
      </c>
      <c r="H12" s="46"/>
      <c r="I12" s="480">
        <v>250</v>
      </c>
      <c r="J12" s="75">
        <f t="shared" si="2"/>
        <v>150</v>
      </c>
      <c r="K12" s="46"/>
      <c r="L12" s="186">
        <v>0</v>
      </c>
      <c r="M12" s="186">
        <v>0</v>
      </c>
      <c r="N12" s="82"/>
      <c r="O12" s="187">
        <v>286</v>
      </c>
      <c r="S12" s="56"/>
      <c r="V12" s="52"/>
      <c r="W12" s="44" t="s">
        <v>8</v>
      </c>
      <c r="Y12" s="44" t="s">
        <v>8</v>
      </c>
      <c r="AA12" s="44" t="s">
        <v>8</v>
      </c>
    </row>
    <row r="13" spans="1:27" s="44" customFormat="1" ht="16">
      <c r="A13" s="354" t="s">
        <v>312</v>
      </c>
      <c r="B13" s="423">
        <f ca="1">'Payments Receipts Cash Book'!O53</f>
        <v>213.75</v>
      </c>
      <c r="C13" s="362">
        <v>213.75</v>
      </c>
      <c r="D13" s="363">
        <f t="shared" ca="1" si="1"/>
        <v>0</v>
      </c>
      <c r="E13" s="75">
        <v>213.75</v>
      </c>
      <c r="F13" s="141"/>
      <c r="G13" s="151"/>
      <c r="H13" s="75"/>
      <c r="I13" s="480">
        <f>213.75/2</f>
        <v>106.875</v>
      </c>
      <c r="J13" s="75">
        <f t="shared" si="2"/>
        <v>-106.875</v>
      </c>
      <c r="K13" s="75"/>
      <c r="L13" s="186"/>
      <c r="M13" s="186"/>
      <c r="N13" s="82"/>
      <c r="O13" s="187"/>
      <c r="S13" s="56"/>
      <c r="V13" s="52"/>
    </row>
    <row r="14" spans="1:27" s="199" customFormat="1" ht="16">
      <c r="A14" s="262" t="str">
        <f>'Payments Receipts Cash Book'!U15</f>
        <v>Pond</v>
      </c>
      <c r="B14" s="423">
        <f ca="1">'Payments Receipts Cash Book'!U53</f>
        <v>2034.2</v>
      </c>
      <c r="C14" s="278">
        <v>3000</v>
      </c>
      <c r="D14" s="279">
        <f t="shared" ca="1" si="1"/>
        <v>965.8</v>
      </c>
      <c r="E14" s="195">
        <v>3000</v>
      </c>
      <c r="F14" s="196">
        <v>2000</v>
      </c>
      <c r="G14" s="194" t="s">
        <v>107</v>
      </c>
      <c r="H14" s="194"/>
      <c r="I14" s="480">
        <f>0</f>
        <v>0</v>
      </c>
      <c r="J14" s="75">
        <f t="shared" si="2"/>
        <v>-3000</v>
      </c>
      <c r="K14" s="194"/>
      <c r="L14" s="186">
        <v>3812.63</v>
      </c>
      <c r="M14" s="197">
        <v>3000</v>
      </c>
      <c r="N14" s="82"/>
      <c r="O14" s="198">
        <v>0</v>
      </c>
      <c r="S14" s="200"/>
      <c r="V14" s="201"/>
      <c r="W14" s="199" t="s">
        <v>8</v>
      </c>
      <c r="Y14" s="199" t="s">
        <v>8</v>
      </c>
      <c r="AA14" s="199" t="s">
        <v>8</v>
      </c>
    </row>
    <row r="15" spans="1:27" s="44" customFormat="1" ht="16">
      <c r="A15" s="262" t="str">
        <f>'Payments Receipts Cash Book'!AC15</f>
        <v>Jubilee/Coronation</v>
      </c>
      <c r="B15" s="423">
        <f ca="1">'Payments Receipts Cash Book'!AC53</f>
        <v>201.25</v>
      </c>
      <c r="C15" s="278">
        <v>1000</v>
      </c>
      <c r="D15" s="279">
        <f t="shared" ca="1" si="1"/>
        <v>798.75</v>
      </c>
      <c r="E15" s="75">
        <v>1000</v>
      </c>
      <c r="F15" s="141">
        <v>250</v>
      </c>
      <c r="G15" s="151" t="s">
        <v>48</v>
      </c>
      <c r="H15" s="46"/>
      <c r="I15" s="480">
        <v>250</v>
      </c>
      <c r="J15" s="75">
        <f t="shared" si="2"/>
        <v>-750</v>
      </c>
      <c r="K15" s="46"/>
      <c r="L15" s="186">
        <v>938.26</v>
      </c>
      <c r="M15" s="186">
        <v>61</v>
      </c>
      <c r="N15" s="82"/>
      <c r="O15" s="187">
        <v>797</v>
      </c>
      <c r="S15" s="56"/>
      <c r="V15" s="52"/>
    </row>
    <row r="16" spans="1:27" s="44" customFormat="1" ht="16">
      <c r="A16" s="262" t="str">
        <f>'Payments Receipts Cash Book'!V15</f>
        <v>Election</v>
      </c>
      <c r="B16" s="421">
        <f ca="1">'Payments Receipts Cash Book'!V53</f>
        <v>144.71</v>
      </c>
      <c r="C16" s="278">
        <v>150</v>
      </c>
      <c r="D16" s="279">
        <f t="shared" ca="1" si="1"/>
        <v>5.289999999999992</v>
      </c>
      <c r="E16" s="75">
        <v>0</v>
      </c>
      <c r="F16" s="141">
        <f>1000/4-37.5</f>
        <v>212.5</v>
      </c>
      <c r="G16" s="151" t="s">
        <v>108</v>
      </c>
      <c r="H16" s="46"/>
      <c r="I16" s="480">
        <v>100</v>
      </c>
      <c r="J16" s="75">
        <f t="shared" si="2"/>
        <v>-50</v>
      </c>
      <c r="K16" s="46"/>
      <c r="L16" s="186">
        <v>0</v>
      </c>
      <c r="M16" s="186">
        <v>0</v>
      </c>
      <c r="N16" s="82"/>
      <c r="O16" s="187">
        <v>0</v>
      </c>
      <c r="S16" s="56"/>
      <c r="V16" s="52"/>
    </row>
    <row r="17" spans="1:27" s="59" customFormat="1" ht="18" customHeight="1">
      <c r="A17" s="262" t="str">
        <f>'Payments Receipts Cash Book'!W15</f>
        <v>Geese</v>
      </c>
      <c r="B17" s="423">
        <f ca="1">'Payments Receipts Cash Book'!W53</f>
        <v>229.98999999999992</v>
      </c>
      <c r="C17" s="104">
        <f>750-66.95</f>
        <v>683.05</v>
      </c>
      <c r="D17" s="115">
        <f t="shared" ca="1" si="1"/>
        <v>453.06000000000006</v>
      </c>
      <c r="E17" s="75">
        <f>C17</f>
        <v>683.05</v>
      </c>
      <c r="F17" s="141">
        <v>750</v>
      </c>
      <c r="G17" s="192" t="s">
        <v>135</v>
      </c>
      <c r="H17" s="46"/>
      <c r="I17" s="480">
        <v>500</v>
      </c>
      <c r="J17" s="75">
        <f t="shared" si="2"/>
        <v>-183.04999999999995</v>
      </c>
      <c r="K17" s="46"/>
      <c r="L17" s="186">
        <v>458.29</v>
      </c>
      <c r="M17" s="186">
        <v>292.32</v>
      </c>
      <c r="N17" s="82"/>
      <c r="O17" s="187">
        <v>264.07</v>
      </c>
      <c r="S17" s="56"/>
      <c r="U17" s="44"/>
      <c r="V17" s="60"/>
      <c r="W17" s="59" t="s">
        <v>8</v>
      </c>
      <c r="Y17" s="59" t="s">
        <v>8</v>
      </c>
      <c r="AA17" s="59" t="s">
        <v>21</v>
      </c>
    </row>
    <row r="18" spans="1:27" s="59" customFormat="1" ht="18" customHeight="1">
      <c r="A18" s="262" t="str">
        <f>'Payments Receipts Cash Book'!X15</f>
        <v>Green Maintenance</v>
      </c>
      <c r="B18" s="423">
        <f ca="1">'Payments Receipts Cash Book'!X53</f>
        <v>1080</v>
      </c>
      <c r="C18" s="104">
        <v>2500</v>
      </c>
      <c r="D18" s="115">
        <f t="shared" ca="1" si="1"/>
        <v>1420</v>
      </c>
      <c r="E18" s="368">
        <f>C18</f>
        <v>2500</v>
      </c>
      <c r="F18" s="141">
        <v>2750</v>
      </c>
      <c r="G18" s="151" t="s">
        <v>109</v>
      </c>
      <c r="H18" s="46"/>
      <c r="I18" s="480">
        <v>3500</v>
      </c>
      <c r="J18" s="75">
        <f t="shared" si="2"/>
        <v>1000</v>
      </c>
      <c r="K18" s="46"/>
      <c r="L18" s="186">
        <v>1879</v>
      </c>
      <c r="M18" s="186">
        <v>1998</v>
      </c>
      <c r="N18" s="82"/>
      <c r="O18" s="187">
        <v>2943</v>
      </c>
      <c r="S18" s="56"/>
      <c r="U18" s="44"/>
      <c r="V18" s="60"/>
    </row>
    <row r="19" spans="1:27" s="59" customFormat="1" ht="18" customHeight="1">
      <c r="A19" s="262" t="str">
        <f>'Payments Receipts Cash Book'!Z15</f>
        <v>Hire of Vestry</v>
      </c>
      <c r="B19" s="423">
        <f ca="1">'Payments Receipts Cash Book'!Z53</f>
        <v>49.5</v>
      </c>
      <c r="C19" s="104">
        <f>208-10.9</f>
        <v>197.1</v>
      </c>
      <c r="D19" s="115">
        <f t="shared" ca="1" si="1"/>
        <v>147.6</v>
      </c>
      <c r="E19" s="75">
        <f>C19</f>
        <v>197.1</v>
      </c>
      <c r="F19" s="141">
        <v>250</v>
      </c>
      <c r="G19" s="151" t="s">
        <v>123</v>
      </c>
      <c r="H19" s="46"/>
      <c r="I19" s="480">
        <f>12.5*11+60</f>
        <v>197.5</v>
      </c>
      <c r="J19" s="75">
        <f t="shared" si="2"/>
        <v>0.40000000000000568</v>
      </c>
      <c r="K19" s="46"/>
      <c r="L19" s="186">
        <v>165</v>
      </c>
      <c r="M19" s="186">
        <v>99.96</v>
      </c>
      <c r="N19" s="82">
        <v>-50</v>
      </c>
      <c r="O19" s="187">
        <v>10</v>
      </c>
      <c r="S19" s="56"/>
      <c r="U19" s="44"/>
      <c r="V19" s="60"/>
      <c r="W19" s="59" t="s">
        <v>8</v>
      </c>
      <c r="Y19" s="59" t="s">
        <v>8</v>
      </c>
      <c r="AA19" s="59" t="s">
        <v>8</v>
      </c>
    </row>
    <row r="20" spans="1:27" s="59" customFormat="1" ht="18" customHeight="1">
      <c r="A20" s="262" t="str">
        <f>'Payments Receipts Cash Book'!AB15</f>
        <v>Insurance</v>
      </c>
      <c r="B20" s="423">
        <f ca="1">'Payments Receipts Cash Book'!AB53</f>
        <v>637.14</v>
      </c>
      <c r="C20" s="104">
        <f>421.31+151.12+54.71</f>
        <v>627.1400000000001</v>
      </c>
      <c r="D20" s="115">
        <f t="shared" ca="1" si="1"/>
        <v>-9.9999999999998863</v>
      </c>
      <c r="E20" s="75">
        <f ca="1">B20</f>
        <v>637.14</v>
      </c>
      <c r="F20" s="141">
        <f ca="1">B20*111%</f>
        <v>707.22540000000004</v>
      </c>
      <c r="G20" s="148" t="s">
        <v>78</v>
      </c>
      <c r="H20" s="75"/>
      <c r="I20" s="480">
        <f ca="1">B20*9%+B20</f>
        <v>694.48259999999993</v>
      </c>
      <c r="J20" s="75">
        <f t="shared" ca="1" si="2"/>
        <v>67.342599999999834</v>
      </c>
      <c r="K20" s="75"/>
      <c r="L20" s="186">
        <v>572.42999999999995</v>
      </c>
      <c r="M20" s="186">
        <v>401.25</v>
      </c>
      <c r="N20" s="82"/>
      <c r="O20" s="187">
        <v>997.82</v>
      </c>
      <c r="S20" s="56"/>
      <c r="U20" s="44"/>
      <c r="V20" s="60"/>
      <c r="W20" s="59" t="s">
        <v>8</v>
      </c>
      <c r="Y20" s="59" t="s">
        <v>8</v>
      </c>
      <c r="AA20" s="59" t="s">
        <v>8</v>
      </c>
    </row>
    <row r="21" spans="1:27" s="44" customFormat="1" ht="16">
      <c r="A21" s="262" t="str">
        <f>'Payments Receipts Cash Book'!AA15</f>
        <v>Wesbite</v>
      </c>
      <c r="B21" s="423">
        <f ca="1">'Payments Receipts Cash Book'!AA53</f>
        <v>120</v>
      </c>
      <c r="C21" s="104">
        <v>155</v>
      </c>
      <c r="D21" s="115">
        <f t="shared" ca="1" si="1"/>
        <v>35</v>
      </c>
      <c r="E21" s="75">
        <f ca="1">B21</f>
        <v>120</v>
      </c>
      <c r="F21" s="141">
        <f>120*111%</f>
        <v>133.20000000000002</v>
      </c>
      <c r="G21" s="151" t="s">
        <v>78</v>
      </c>
      <c r="H21" s="75"/>
      <c r="I21" s="480">
        <f ca="1">B21*9%+B21</f>
        <v>130.80000000000001</v>
      </c>
      <c r="J21" s="75">
        <f t="shared" ca="1" si="2"/>
        <v>-24.199999999999989</v>
      </c>
      <c r="K21" s="75"/>
      <c r="L21" s="186">
        <v>120</v>
      </c>
      <c r="M21" s="186">
        <v>186</v>
      </c>
      <c r="N21" s="82">
        <v>-78.5</v>
      </c>
      <c r="O21" s="187">
        <v>100</v>
      </c>
      <c r="S21" s="56"/>
      <c r="U21" s="59"/>
      <c r="V21" s="52"/>
      <c r="W21" s="44" t="s">
        <v>8</v>
      </c>
      <c r="Y21" s="44" t="s">
        <v>8</v>
      </c>
      <c r="AA21" s="44" t="s">
        <v>8</v>
      </c>
    </row>
    <row r="22" spans="1:27" s="44" customFormat="1" ht="16">
      <c r="A22" s="262" t="str">
        <f>'Payments Receipts Cash Book'!AD15</f>
        <v>Litter Pick</v>
      </c>
      <c r="B22" s="423">
        <f ca="1">'Payments Receipts Cash Book'!AD53</f>
        <v>135.12</v>
      </c>
      <c r="C22" s="104">
        <v>250</v>
      </c>
      <c r="D22" s="115">
        <f t="shared" ca="1" si="1"/>
        <v>114.88</v>
      </c>
      <c r="E22" s="75">
        <f ca="1">B22*2</f>
        <v>270.24</v>
      </c>
      <c r="F22" s="141">
        <v>255</v>
      </c>
      <c r="G22" s="151" t="s">
        <v>110</v>
      </c>
      <c r="H22" s="46"/>
      <c r="I22" s="480">
        <f>250</f>
        <v>250</v>
      </c>
      <c r="J22" s="75">
        <f t="shared" si="2"/>
        <v>0</v>
      </c>
      <c r="K22" s="46"/>
      <c r="L22" s="186">
        <v>121.9</v>
      </c>
      <c r="M22" s="186">
        <v>248.73</v>
      </c>
      <c r="N22" s="82">
        <v>5</v>
      </c>
      <c r="O22" s="187">
        <v>447.91</v>
      </c>
      <c r="S22" s="56"/>
      <c r="V22" s="52"/>
      <c r="W22" s="44" t="s">
        <v>8</v>
      </c>
      <c r="Y22" s="44" t="s">
        <v>8</v>
      </c>
      <c r="AA22" s="44" t="s">
        <v>8</v>
      </c>
    </row>
    <row r="23" spans="1:27" s="44" customFormat="1" ht="16">
      <c r="A23" s="262" t="str">
        <f>'Payments Receipts Cash Book'!AE15</f>
        <v>Mileage</v>
      </c>
      <c r="B23" s="423">
        <f ca="1">'Payments Receipts Cash Book'!AE53</f>
        <v>44.550000000000004</v>
      </c>
      <c r="C23" s="278">
        <f>1.78+15+77.03-54.71</f>
        <v>39.1</v>
      </c>
      <c r="D23" s="279">
        <f t="shared" ca="1" si="1"/>
        <v>-5.4500000000000028</v>
      </c>
      <c r="E23" s="75">
        <f ca="1">B23*2.5</f>
        <v>111.37500000000001</v>
      </c>
      <c r="F23" s="141">
        <f>SUM(9.3*2)*6</f>
        <v>111.60000000000001</v>
      </c>
      <c r="G23" s="151" t="s">
        <v>111</v>
      </c>
      <c r="H23" s="46"/>
      <c r="I23" s="480">
        <f>8.1*12</f>
        <v>97.199999999999989</v>
      </c>
      <c r="J23" s="75">
        <f t="shared" si="2"/>
        <v>58.099999999999987</v>
      </c>
      <c r="K23" s="46"/>
      <c r="L23" s="186">
        <v>16.78</v>
      </c>
      <c r="M23" s="186">
        <v>87.03</v>
      </c>
      <c r="N23" s="82"/>
      <c r="O23" s="187">
        <v>40.5</v>
      </c>
      <c r="S23" s="56"/>
      <c r="V23" s="52"/>
      <c r="W23" s="44" t="s">
        <v>21</v>
      </c>
      <c r="Y23" s="44" t="s">
        <v>8</v>
      </c>
      <c r="AA23" s="44" t="s">
        <v>8</v>
      </c>
    </row>
    <row r="24" spans="1:27" s="44" customFormat="1" ht="16">
      <c r="A24" s="354" t="str">
        <f>'Payments Receipts Cash Book'!AF15</f>
        <v>Misc</v>
      </c>
      <c r="B24" s="423">
        <f ca="1">'Payments Receipts Cash Book'!AF53</f>
        <v>22</v>
      </c>
      <c r="C24" s="362">
        <f>469.28+90.72-213.75-346.25</f>
        <v>0</v>
      </c>
      <c r="D24" s="363">
        <f t="shared" ca="1" si="1"/>
        <v>-22</v>
      </c>
      <c r="E24" s="75">
        <f ca="1">B24</f>
        <v>22</v>
      </c>
      <c r="F24" s="141">
        <v>520</v>
      </c>
      <c r="G24" s="192" t="s">
        <v>136</v>
      </c>
      <c r="H24" s="46"/>
      <c r="I24" s="480">
        <v>0</v>
      </c>
      <c r="J24" s="75">
        <f t="shared" si="2"/>
        <v>0</v>
      </c>
      <c r="K24" s="46"/>
      <c r="L24" s="186">
        <v>810</v>
      </c>
      <c r="M24" s="186">
        <v>613.34</v>
      </c>
      <c r="N24" s="82"/>
      <c r="O24" s="187">
        <v>0</v>
      </c>
      <c r="S24" s="56"/>
      <c r="V24" s="52"/>
      <c r="W24" s="44" t="s">
        <v>8</v>
      </c>
      <c r="Y24" s="44" t="s">
        <v>21</v>
      </c>
      <c r="AA24" s="44" t="s">
        <v>8</v>
      </c>
    </row>
    <row r="25" spans="1:27" s="44" customFormat="1" ht="16">
      <c r="A25" s="262" t="s">
        <v>100</v>
      </c>
      <c r="B25" s="421">
        <v>0</v>
      </c>
      <c r="C25" s="278">
        <v>0</v>
      </c>
      <c r="D25" s="279">
        <f t="shared" si="1"/>
        <v>0</v>
      </c>
      <c r="E25" s="75">
        <v>0</v>
      </c>
      <c r="F25" s="141">
        <v>0</v>
      </c>
      <c r="G25" s="151"/>
      <c r="H25" s="46"/>
      <c r="I25" s="480">
        <v>0</v>
      </c>
      <c r="J25" s="75">
        <f t="shared" si="2"/>
        <v>0</v>
      </c>
      <c r="K25" s="46"/>
      <c r="L25" s="186">
        <v>0</v>
      </c>
      <c r="M25" s="186">
        <v>2042.99</v>
      </c>
      <c r="N25" s="82"/>
      <c r="O25" s="187">
        <v>3820.01</v>
      </c>
      <c r="S25" s="56"/>
      <c r="V25" s="52"/>
    </row>
    <row r="26" spans="1:27" s="44" customFormat="1" ht="16">
      <c r="A26" s="262" t="str">
        <f>'Payments Receipts Cash Book'!AG15</f>
        <v>Office</v>
      </c>
      <c r="B26" s="423">
        <f ca="1">'Payments Receipts Cash Book'!AG53</f>
        <v>186</v>
      </c>
      <c r="C26" s="278">
        <f>78.121+312</f>
        <v>390.12099999999998</v>
      </c>
      <c r="D26" s="279">
        <f t="shared" ca="1" si="1"/>
        <v>204.12099999999998</v>
      </c>
      <c r="E26" s="75">
        <f>6*52</f>
        <v>312</v>
      </c>
      <c r="F26" s="141">
        <f>6*52</f>
        <v>312</v>
      </c>
      <c r="G26" s="151" t="s">
        <v>112</v>
      </c>
      <c r="H26" s="46"/>
      <c r="I26" s="480">
        <f>6*52</f>
        <v>312</v>
      </c>
      <c r="J26" s="75">
        <f t="shared" si="2"/>
        <v>-78.120999999999981</v>
      </c>
      <c r="K26" s="46"/>
      <c r="L26" s="186">
        <v>375.12</v>
      </c>
      <c r="M26" s="186">
        <v>305</v>
      </c>
      <c r="N26" s="82"/>
      <c r="O26" s="187">
        <v>216</v>
      </c>
      <c r="S26" s="56"/>
      <c r="U26" s="51"/>
      <c r="V26" s="52"/>
      <c r="W26" s="44" t="s">
        <v>8</v>
      </c>
      <c r="Y26" s="44" t="s">
        <v>8</v>
      </c>
      <c r="AA26" s="44" t="s">
        <v>8</v>
      </c>
    </row>
    <row r="27" spans="1:27" s="44" customFormat="1" ht="16">
      <c r="A27" s="262" t="str">
        <f>'Payments Receipts Cash Book'!AH15</f>
        <v>Play Equip Maint</v>
      </c>
      <c r="B27" s="421">
        <f ca="1">'Payments Receipts Cash Book'!AH53</f>
        <v>0</v>
      </c>
      <c r="C27" s="105">
        <v>500</v>
      </c>
      <c r="D27" s="115">
        <f t="shared" ca="1" si="1"/>
        <v>500</v>
      </c>
      <c r="E27" s="75">
        <v>0</v>
      </c>
      <c r="F27" s="141">
        <v>100</v>
      </c>
      <c r="G27" s="151" t="s">
        <v>113</v>
      </c>
      <c r="H27" s="46"/>
      <c r="I27" s="480">
        <v>500</v>
      </c>
      <c r="J27" s="75">
        <f t="shared" si="2"/>
        <v>0</v>
      </c>
      <c r="K27" s="46"/>
      <c r="L27" s="186">
        <v>0</v>
      </c>
      <c r="M27" s="186">
        <v>0</v>
      </c>
      <c r="N27" s="82"/>
      <c r="O27" s="187">
        <v>0</v>
      </c>
      <c r="S27" s="56"/>
      <c r="U27" s="51"/>
      <c r="V27" s="52"/>
      <c r="W27" s="44" t="s">
        <v>8</v>
      </c>
      <c r="Y27" s="44" t="s">
        <v>8</v>
      </c>
      <c r="AA27" s="44" t="s">
        <v>8</v>
      </c>
    </row>
    <row r="28" spans="1:27" s="44" customFormat="1" ht="16">
      <c r="A28" s="262" t="str">
        <f>'Payments Receipts Cash Book'!AI15</f>
        <v>Play Inspection</v>
      </c>
      <c r="B28" s="421">
        <f ca="1">'Payments Receipts Cash Book'!AI53</f>
        <v>0</v>
      </c>
      <c r="C28" s="104">
        <v>72.45</v>
      </c>
      <c r="D28" s="115">
        <f t="shared" ca="1" si="1"/>
        <v>72.45</v>
      </c>
      <c r="E28" s="75">
        <f>C28</f>
        <v>72.45</v>
      </c>
      <c r="F28" s="141">
        <f>75</f>
        <v>75</v>
      </c>
      <c r="G28" s="192" t="s">
        <v>137</v>
      </c>
      <c r="H28" s="46"/>
      <c r="I28" s="480">
        <v>100</v>
      </c>
      <c r="J28" s="75">
        <f t="shared" si="2"/>
        <v>27.549999999999997</v>
      </c>
      <c r="K28" s="46"/>
      <c r="L28" s="186">
        <v>52.06</v>
      </c>
      <c r="M28" s="186">
        <v>50.54</v>
      </c>
      <c r="N28" s="82">
        <v>-5</v>
      </c>
      <c r="O28" s="187">
        <v>50.68</v>
      </c>
      <c r="S28" s="56"/>
      <c r="V28" s="52"/>
      <c r="W28" s="44" t="s">
        <v>8</v>
      </c>
      <c r="Y28" s="44" t="s">
        <v>8</v>
      </c>
      <c r="AA28" s="44" t="s">
        <v>8</v>
      </c>
    </row>
    <row r="29" spans="1:27" s="44" customFormat="1" ht="16">
      <c r="A29" s="262" t="str">
        <f>'Payments Receipts Cash Book'!AJ15</f>
        <v>Salary</v>
      </c>
      <c r="B29" s="423">
        <f ca="1">'Payments Receipts Cash Book'!AJ53</f>
        <v>4247.1399999999994</v>
      </c>
      <c r="C29" s="104">
        <v>6801.6</v>
      </c>
      <c r="D29" s="115">
        <f t="shared" ca="1" si="1"/>
        <v>2554.4600000000009</v>
      </c>
      <c r="E29" s="75">
        <f>15.02*10*52</f>
        <v>7810.4</v>
      </c>
      <c r="F29" s="141">
        <f>14.5*520</f>
        <v>7540</v>
      </c>
      <c r="G29" s="151" t="s">
        <v>114</v>
      </c>
      <c r="H29" s="46"/>
      <c r="I29" s="480">
        <f>16.02*10*52</f>
        <v>8330.4</v>
      </c>
      <c r="J29" s="75">
        <f t="shared" si="2"/>
        <v>1528.7999999999993</v>
      </c>
      <c r="K29" s="46"/>
      <c r="L29" s="186">
        <v>7085.65</v>
      </c>
      <c r="M29" s="186">
        <f>15+6207.28</f>
        <v>6222.28</v>
      </c>
      <c r="N29" s="82"/>
      <c r="O29" s="187">
        <f>56+3131.69</f>
        <v>3187.69</v>
      </c>
      <c r="S29" s="56"/>
      <c r="U29" s="61"/>
      <c r="V29" s="52"/>
      <c r="W29" s="44" t="s">
        <v>8</v>
      </c>
      <c r="Y29" s="44" t="s">
        <v>8</v>
      </c>
      <c r="AA29" s="44" t="s">
        <v>8</v>
      </c>
    </row>
    <row r="30" spans="1:27" s="44" customFormat="1" ht="16">
      <c r="A30" s="262" t="s">
        <v>115</v>
      </c>
      <c r="B30" s="423">
        <f ca="1">'Payments Receipts Cash Book'!AK53</f>
        <v>200.98000000000002</v>
      </c>
      <c r="C30" s="104">
        <v>200</v>
      </c>
      <c r="D30" s="115">
        <f t="shared" ca="1" si="1"/>
        <v>-0.98000000000001819</v>
      </c>
      <c r="E30" s="75">
        <f>88.94*2</f>
        <v>177.88</v>
      </c>
      <c r="F30" s="141">
        <v>75</v>
      </c>
      <c r="G30" s="151" t="s">
        <v>124</v>
      </c>
      <c r="H30" s="46"/>
      <c r="I30" s="480">
        <v>200</v>
      </c>
      <c r="J30" s="75">
        <f t="shared" si="2"/>
        <v>0</v>
      </c>
      <c r="K30" s="46"/>
      <c r="L30" s="186">
        <v>62.87</v>
      </c>
      <c r="M30" s="186">
        <v>281.95</v>
      </c>
      <c r="N30" s="82"/>
      <c r="O30" s="187">
        <v>91.58</v>
      </c>
      <c r="S30" s="56"/>
      <c r="U30" s="61"/>
      <c r="V30" s="52"/>
    </row>
    <row r="31" spans="1:27" s="44" customFormat="1" ht="16">
      <c r="A31" s="46" t="str">
        <f>'Payments Receipts Cash Book'!AL15</f>
        <v>Stationery C/Man</v>
      </c>
      <c r="B31" s="423">
        <f ca="1">'Payments Receipts Cash Book'!AL53</f>
        <v>49.49</v>
      </c>
      <c r="C31" s="104">
        <v>50</v>
      </c>
      <c r="D31" s="115">
        <f t="shared" ca="1" si="1"/>
        <v>0.50999999999999801</v>
      </c>
      <c r="E31" s="75">
        <f ca="1">B31*2</f>
        <v>98.98</v>
      </c>
      <c r="F31" s="141">
        <v>100</v>
      </c>
      <c r="G31" s="151" t="s">
        <v>116</v>
      </c>
      <c r="H31" s="46"/>
      <c r="I31" s="480">
        <v>50</v>
      </c>
      <c r="J31" s="75">
        <f t="shared" si="2"/>
        <v>0</v>
      </c>
      <c r="K31" s="46"/>
      <c r="L31" s="186">
        <v>42.99</v>
      </c>
      <c r="M31" s="186">
        <v>0</v>
      </c>
      <c r="N31" s="82">
        <v>-50</v>
      </c>
      <c r="O31" s="187">
        <v>0</v>
      </c>
      <c r="S31" s="56"/>
      <c r="U31" s="61"/>
      <c r="V31" s="52"/>
      <c r="W31" s="44" t="s">
        <v>8</v>
      </c>
      <c r="Y31" s="44" t="s">
        <v>8</v>
      </c>
      <c r="AA31" s="44" t="s">
        <v>8</v>
      </c>
    </row>
    <row r="32" spans="1:27" s="44" customFormat="1" ht="16">
      <c r="A32" s="46" t="str">
        <f>'Payments Receipts Cash Book'!AM15</f>
        <v>Subscriptions</v>
      </c>
      <c r="B32" s="423">
        <f ca="1">'Payments Receipts Cash Book'!AM53</f>
        <v>317.97000000000003</v>
      </c>
      <c r="C32" s="104">
        <f>395-77.03</f>
        <v>317.97000000000003</v>
      </c>
      <c r="D32" s="115">
        <f t="shared" ca="1" si="1"/>
        <v>0</v>
      </c>
      <c r="E32" s="75">
        <f ca="1">B32</f>
        <v>317.97000000000003</v>
      </c>
      <c r="F32" s="183">
        <f>341*111%</f>
        <v>378.51000000000005</v>
      </c>
      <c r="G32" s="151" t="s">
        <v>117</v>
      </c>
      <c r="H32" s="46"/>
      <c r="I32" s="480">
        <f ca="1">B32*9%+B32</f>
        <v>346.58730000000003</v>
      </c>
      <c r="J32" s="75">
        <f t="shared" ca="1" si="2"/>
        <v>28.6173</v>
      </c>
      <c r="K32" s="46"/>
      <c r="L32" s="186">
        <v>409.29</v>
      </c>
      <c r="M32" s="186">
        <v>602.85</v>
      </c>
      <c r="N32" s="82">
        <v>174.78</v>
      </c>
      <c r="O32" s="185">
        <v>494.96</v>
      </c>
      <c r="S32" s="56"/>
      <c r="U32" s="61"/>
      <c r="V32" s="62"/>
      <c r="W32" s="44" t="s">
        <v>8</v>
      </c>
      <c r="Y32" s="44" t="s">
        <v>8</v>
      </c>
      <c r="AA32" s="44" t="s">
        <v>8</v>
      </c>
    </row>
    <row r="33" spans="1:27" s="44" customFormat="1" ht="16">
      <c r="A33" s="395" t="s">
        <v>353</v>
      </c>
      <c r="B33" s="423">
        <f ca="1">'Payments Receipts Cash Book'!AN53</f>
        <v>21468.32</v>
      </c>
      <c r="C33" s="104">
        <v>0</v>
      </c>
      <c r="D33" s="115">
        <f t="shared" ca="1" si="1"/>
        <v>-21468.32</v>
      </c>
      <c r="E33" s="75"/>
      <c r="F33" s="183"/>
      <c r="G33" s="151"/>
      <c r="H33" s="46"/>
      <c r="I33" s="480">
        <v>0</v>
      </c>
      <c r="J33" s="75">
        <f t="shared" si="2"/>
        <v>0</v>
      </c>
      <c r="K33" s="46"/>
      <c r="L33" s="186"/>
      <c r="M33" s="186"/>
      <c r="N33" s="82"/>
      <c r="O33" s="185"/>
      <c r="S33" s="56"/>
      <c r="U33" s="61"/>
      <c r="V33" s="62"/>
    </row>
    <row r="34" spans="1:27" s="44" customFormat="1" ht="16">
      <c r="A34" s="46" t="str">
        <f>'Payments Receipts Cash Book'!AO15</f>
        <v>Training</v>
      </c>
      <c r="B34" s="421">
        <f ca="1">'Payments Receipts Cash Book'!AO53</f>
        <v>0</v>
      </c>
      <c r="C34" s="104">
        <f>500-500</f>
        <v>0</v>
      </c>
      <c r="D34" s="115">
        <f t="shared" ca="1" si="1"/>
        <v>0</v>
      </c>
      <c r="E34" s="75">
        <v>0</v>
      </c>
      <c r="F34" s="141">
        <v>100</v>
      </c>
      <c r="G34" s="151" t="s">
        <v>125</v>
      </c>
      <c r="H34" s="46"/>
      <c r="I34" s="480">
        <v>100</v>
      </c>
      <c r="J34" s="75">
        <f t="shared" si="2"/>
        <v>100</v>
      </c>
      <c r="K34" s="46"/>
      <c r="L34" s="186">
        <v>0</v>
      </c>
      <c r="M34" s="186">
        <v>0</v>
      </c>
      <c r="N34" s="82"/>
      <c r="O34" s="187">
        <v>0</v>
      </c>
      <c r="S34" s="56"/>
      <c r="V34" s="52"/>
      <c r="W34" s="44" t="s">
        <v>8</v>
      </c>
      <c r="Y34" s="44" t="s">
        <v>21</v>
      </c>
      <c r="AA34" s="44" t="s">
        <v>21</v>
      </c>
    </row>
    <row r="35" spans="1:27" s="44" customFormat="1" ht="16">
      <c r="A35" s="151" t="s">
        <v>103</v>
      </c>
      <c r="B35" s="424">
        <f ca="1">'Payments Receipts Cash Book'!K53</f>
        <v>735.7700000000001</v>
      </c>
      <c r="C35" s="104">
        <v>0</v>
      </c>
      <c r="D35" s="115">
        <f t="shared" ca="1" si="1"/>
        <v>-735.7700000000001</v>
      </c>
      <c r="E35" s="75">
        <f ca="1">D35</f>
        <v>-735.7700000000001</v>
      </c>
      <c r="F35" s="141">
        <v>0</v>
      </c>
      <c r="G35" s="148" t="s">
        <v>79</v>
      </c>
      <c r="H35" s="46"/>
      <c r="I35" s="480">
        <v>0</v>
      </c>
      <c r="J35" s="75">
        <f t="shared" si="2"/>
        <v>0</v>
      </c>
      <c r="K35" s="46"/>
      <c r="L35" s="186">
        <v>926.12</v>
      </c>
      <c r="M35" s="186">
        <v>1577.76</v>
      </c>
      <c r="N35" s="82"/>
      <c r="O35" s="187">
        <v>1214.21</v>
      </c>
      <c r="S35" s="56"/>
      <c r="U35" s="61"/>
      <c r="V35" s="52"/>
      <c r="W35" s="44" t="s">
        <v>8</v>
      </c>
      <c r="Y35" s="44" t="s">
        <v>21</v>
      </c>
      <c r="AA35" s="44" t="s">
        <v>8</v>
      </c>
    </row>
    <row r="36" spans="1:27" s="51" customFormat="1" ht="17" thickBot="1">
      <c r="A36" s="45" t="s">
        <v>22</v>
      </c>
      <c r="B36" s="116">
        <f ca="1">SUM(B4:B35)</f>
        <v>34783.71</v>
      </c>
      <c r="C36" s="182">
        <f>SUM(C4:C35)</f>
        <v>23186.010999999999</v>
      </c>
      <c r="D36" s="116">
        <f ca="1">SUM(D4:D35)</f>
        <v>-11597.698999999999</v>
      </c>
      <c r="E36" s="94">
        <f ca="1">SUM(E4:E35)</f>
        <v>23215.564999999999</v>
      </c>
      <c r="F36" s="142">
        <f ca="1">SUM(F4:F35)</f>
        <v>23300.128699999997</v>
      </c>
      <c r="G36" s="63"/>
      <c r="H36" s="63"/>
      <c r="I36" s="481">
        <f ca="1">SUM(I4:I35)</f>
        <v>23187.944899999999</v>
      </c>
      <c r="J36" s="116">
        <f ca="1">SUM(J4:J35)</f>
        <v>1.933899999998971</v>
      </c>
      <c r="K36" s="63"/>
      <c r="L36" s="94">
        <f>SUM(L4:L35)</f>
        <v>21006.030000000002</v>
      </c>
      <c r="M36" s="94">
        <f>SUM(M4:M35)</f>
        <v>20383.599999999999</v>
      </c>
      <c r="N36" s="86">
        <f>SUM(N4:N35)</f>
        <v>0</v>
      </c>
      <c r="O36" s="64">
        <f>SUM(O4:O35)</f>
        <v>17088.7</v>
      </c>
      <c r="S36" s="56"/>
      <c r="U36" s="65"/>
      <c r="V36" s="66"/>
      <c r="W36" s="51" t="s">
        <v>8</v>
      </c>
      <c r="Y36" s="51" t="s">
        <v>8</v>
      </c>
    </row>
    <row r="37" spans="1:27" s="51" customFormat="1" ht="17" hidden="1" thickTop="1">
      <c r="A37" s="67" t="s">
        <v>43</v>
      </c>
      <c r="B37" s="68"/>
      <c r="C37" s="69"/>
      <c r="D37" s="68"/>
      <c r="E37" s="68"/>
      <c r="F37" s="68"/>
      <c r="G37" s="68"/>
      <c r="H37" s="68"/>
      <c r="I37" s="482"/>
      <c r="J37" s="68"/>
      <c r="K37" s="68"/>
      <c r="L37" s="68"/>
      <c r="M37" s="87"/>
      <c r="N37" s="88"/>
      <c r="O37" s="88"/>
      <c r="P37" s="70"/>
      <c r="Q37" s="71"/>
      <c r="R37" s="71"/>
      <c r="S37" s="72"/>
      <c r="U37" s="65"/>
      <c r="V37" s="66"/>
    </row>
    <row r="38" spans="1:27" s="51" customFormat="1" ht="17" hidden="1" thickTop="1">
      <c r="A38" s="45" t="s">
        <v>27</v>
      </c>
      <c r="B38" s="45"/>
      <c r="C38" s="73"/>
      <c r="D38" s="45"/>
      <c r="E38" s="45"/>
      <c r="F38" s="45"/>
      <c r="G38" s="45"/>
      <c r="H38" s="45"/>
      <c r="I38" s="479"/>
      <c r="J38" s="45"/>
      <c r="K38" s="45"/>
      <c r="L38" s="45"/>
      <c r="M38" s="99">
        <v>-4615.83</v>
      </c>
      <c r="N38" s="89"/>
      <c r="O38" s="89"/>
      <c r="P38" s="74">
        <v>4615.83</v>
      </c>
      <c r="Q38" s="71"/>
      <c r="R38" s="71"/>
      <c r="S38" s="72"/>
      <c r="U38" s="65"/>
      <c r="V38" s="66"/>
    </row>
    <row r="39" spans="1:27" s="51" customFormat="1" ht="17" hidden="1" thickTop="1">
      <c r="A39" s="46" t="s">
        <v>35</v>
      </c>
      <c r="B39" s="395"/>
      <c r="C39" s="75"/>
      <c r="D39" s="46"/>
      <c r="E39" s="46"/>
      <c r="F39" s="46"/>
      <c r="G39" s="46"/>
      <c r="H39" s="46"/>
      <c r="I39" s="354"/>
      <c r="J39" s="46"/>
      <c r="K39" s="46"/>
      <c r="L39" s="46"/>
      <c r="M39" s="85">
        <v>665.83</v>
      </c>
      <c r="N39" s="90"/>
      <c r="O39" s="90"/>
      <c r="P39" s="57"/>
      <c r="Q39" s="71"/>
      <c r="R39" s="71"/>
      <c r="S39" s="72"/>
      <c r="U39" s="65"/>
      <c r="V39" s="66"/>
    </row>
    <row r="40" spans="1:27" s="51" customFormat="1" ht="17" hidden="1" thickTop="1">
      <c r="A40" s="46" t="s">
        <v>39</v>
      </c>
      <c r="B40" s="395"/>
      <c r="C40" s="75"/>
      <c r="D40" s="46"/>
      <c r="E40" s="46"/>
      <c r="F40" s="46"/>
      <c r="G40" s="46"/>
      <c r="H40" s="46"/>
      <c r="I40" s="354"/>
      <c r="J40" s="46"/>
      <c r="K40" s="46"/>
      <c r="L40" s="46"/>
      <c r="M40" s="85">
        <v>1050</v>
      </c>
      <c r="N40" s="90"/>
      <c r="O40" s="90"/>
      <c r="P40" s="57"/>
      <c r="Q40" s="71"/>
      <c r="R40" s="71"/>
      <c r="S40" s="72"/>
      <c r="U40" s="65"/>
      <c r="V40" s="66"/>
    </row>
    <row r="41" spans="1:27" s="51" customFormat="1" hidden="1" thickTop="1">
      <c r="A41" s="46" t="s">
        <v>38</v>
      </c>
      <c r="B41" s="395"/>
      <c r="C41" s="75"/>
      <c r="D41" s="46"/>
      <c r="E41" s="46"/>
      <c r="F41" s="46"/>
      <c r="G41" s="46"/>
      <c r="H41" s="46"/>
      <c r="I41" s="354"/>
      <c r="J41" s="46"/>
      <c r="K41" s="46"/>
      <c r="L41" s="46"/>
      <c r="M41" s="85">
        <v>2900</v>
      </c>
      <c r="N41" s="91"/>
      <c r="O41" s="91"/>
      <c r="P41" s="57" t="s">
        <v>8</v>
      </c>
      <c r="Q41" s="71"/>
      <c r="R41" s="71"/>
      <c r="S41" s="72"/>
      <c r="U41" s="65"/>
      <c r="V41" s="66"/>
    </row>
    <row r="42" spans="1:27" s="51" customFormat="1" ht="17" hidden="1" thickTop="1">
      <c r="A42" s="46"/>
      <c r="B42" s="395"/>
      <c r="C42" s="75"/>
      <c r="D42" s="46"/>
      <c r="E42" s="46"/>
      <c r="F42" s="46"/>
      <c r="G42" s="46"/>
      <c r="H42" s="46"/>
      <c r="I42" s="354"/>
      <c r="J42" s="46"/>
      <c r="K42" s="46"/>
      <c r="L42" s="46"/>
      <c r="M42" s="85"/>
      <c r="N42" s="91"/>
      <c r="O42" s="91"/>
      <c r="P42" s="57"/>
      <c r="Q42" s="71"/>
      <c r="R42" s="71"/>
      <c r="S42" s="72"/>
      <c r="U42" s="65"/>
      <c r="V42" s="66"/>
    </row>
    <row r="43" spans="1:27" s="51" customFormat="1" ht="17" hidden="1" thickTop="1">
      <c r="A43" s="45" t="s">
        <v>3</v>
      </c>
      <c r="B43" s="45"/>
      <c r="C43" s="73"/>
      <c r="D43" s="45"/>
      <c r="E43" s="45"/>
      <c r="F43" s="45"/>
      <c r="G43" s="45"/>
      <c r="H43" s="45"/>
      <c r="I43" s="479"/>
      <c r="J43" s="45"/>
      <c r="K43" s="45"/>
      <c r="L43" s="45"/>
      <c r="M43" s="99">
        <v>-250</v>
      </c>
      <c r="N43" s="89"/>
      <c r="O43" s="89"/>
      <c r="P43" s="74">
        <v>500</v>
      </c>
      <c r="Q43" s="71"/>
      <c r="R43" s="71"/>
      <c r="S43" s="72"/>
      <c r="U43" s="65"/>
      <c r="V43" s="66"/>
    </row>
    <row r="44" spans="1:27" s="51" customFormat="1" ht="35" hidden="1" thickTop="1">
      <c r="A44" s="47" t="s">
        <v>44</v>
      </c>
      <c r="B44" s="414"/>
      <c r="C44" s="76"/>
      <c r="D44" s="47"/>
      <c r="E44" s="47"/>
      <c r="F44" s="47"/>
      <c r="G44" s="47"/>
      <c r="H44" s="47"/>
      <c r="I44" s="415"/>
      <c r="J44" s="47"/>
      <c r="K44" s="47"/>
      <c r="L44" s="47"/>
      <c r="M44" s="85"/>
      <c r="N44" s="90"/>
      <c r="O44" s="90"/>
      <c r="P44" s="57"/>
      <c r="Q44" s="71"/>
      <c r="R44" s="71"/>
      <c r="S44" s="72"/>
      <c r="U44" s="65"/>
      <c r="V44" s="66"/>
    </row>
    <row r="45" spans="1:27" s="51" customFormat="1" ht="17" hidden="1" thickTop="1">
      <c r="A45" s="46"/>
      <c r="B45" s="395"/>
      <c r="C45" s="75"/>
      <c r="D45" s="46"/>
      <c r="E45" s="46"/>
      <c r="F45" s="46"/>
      <c r="G45" s="46"/>
      <c r="H45" s="46"/>
      <c r="I45" s="354"/>
      <c r="J45" s="46"/>
      <c r="K45" s="46"/>
      <c r="L45" s="46"/>
      <c r="M45" s="85"/>
      <c r="N45" s="90"/>
      <c r="O45" s="90"/>
      <c r="P45" s="57"/>
      <c r="Q45" s="71"/>
      <c r="R45" s="71"/>
      <c r="S45" s="72"/>
      <c r="U45" s="65"/>
      <c r="V45" s="66"/>
    </row>
    <row r="46" spans="1:27" s="51" customFormat="1" ht="17" hidden="1" thickTop="1">
      <c r="A46" s="45" t="s">
        <v>14</v>
      </c>
      <c r="B46" s="45"/>
      <c r="C46" s="73"/>
      <c r="D46" s="45"/>
      <c r="E46" s="45"/>
      <c r="F46" s="45"/>
      <c r="G46" s="45"/>
      <c r="H46" s="45"/>
      <c r="I46" s="479"/>
      <c r="J46" s="45"/>
      <c r="K46" s="45"/>
      <c r="L46" s="45"/>
      <c r="M46" s="99">
        <v>-911.83</v>
      </c>
      <c r="N46" s="89"/>
      <c r="O46" s="89"/>
      <c r="P46" s="74">
        <v>1011.83</v>
      </c>
      <c r="Q46" s="71"/>
      <c r="R46" s="71"/>
      <c r="S46" s="72"/>
      <c r="U46" s="65"/>
      <c r="V46" s="66"/>
    </row>
    <row r="47" spans="1:27" s="51" customFormat="1" ht="17" hidden="1" thickTop="1">
      <c r="A47" s="46" t="s">
        <v>42</v>
      </c>
      <c r="B47" s="395"/>
      <c r="C47" s="75"/>
      <c r="D47" s="46"/>
      <c r="E47" s="46"/>
      <c r="F47" s="46"/>
      <c r="G47" s="46"/>
      <c r="H47" s="46"/>
      <c r="I47" s="354"/>
      <c r="J47" s="46"/>
      <c r="K47" s="46"/>
      <c r="L47" s="46"/>
      <c r="M47" s="85">
        <v>763.96</v>
      </c>
      <c r="N47" s="91"/>
      <c r="O47" s="91"/>
      <c r="P47" s="57"/>
      <c r="Q47" s="71"/>
      <c r="R47" s="71"/>
      <c r="S47" s="72"/>
      <c r="U47" s="65"/>
      <c r="V47" s="66"/>
    </row>
    <row r="48" spans="1:27" s="51" customFormat="1" hidden="1" thickTop="1">
      <c r="A48" s="46" t="s">
        <v>41</v>
      </c>
      <c r="B48" s="395"/>
      <c r="C48" s="75"/>
      <c r="D48" s="46"/>
      <c r="E48" s="46"/>
      <c r="F48" s="46"/>
      <c r="G48" s="46"/>
      <c r="H48" s="46"/>
      <c r="I48" s="354"/>
      <c r="J48" s="46"/>
      <c r="K48" s="46"/>
      <c r="L48" s="46"/>
      <c r="M48" s="85">
        <v>133.35</v>
      </c>
      <c r="N48" s="91"/>
      <c r="O48" s="91"/>
      <c r="P48" s="57" t="s">
        <v>8</v>
      </c>
      <c r="Q48" s="71"/>
      <c r="R48" s="71"/>
      <c r="S48" s="72"/>
      <c r="U48" s="65"/>
      <c r="V48" s="66"/>
    </row>
    <row r="49" spans="1:23" s="51" customFormat="1" hidden="1" thickTop="1">
      <c r="A49" s="46" t="s">
        <v>40</v>
      </c>
      <c r="B49" s="395"/>
      <c r="C49" s="75"/>
      <c r="D49" s="46"/>
      <c r="E49" s="46"/>
      <c r="F49" s="46"/>
      <c r="G49" s="46"/>
      <c r="H49" s="46"/>
      <c r="I49" s="354"/>
      <c r="J49" s="46"/>
      <c r="K49" s="46"/>
      <c r="L49" s="46"/>
      <c r="M49" s="85">
        <v>15</v>
      </c>
      <c r="N49" s="91"/>
      <c r="O49" s="91"/>
      <c r="P49" s="57" t="s">
        <v>8</v>
      </c>
      <c r="Q49" s="71"/>
      <c r="R49" s="71"/>
      <c r="S49" s="72"/>
      <c r="U49" s="65"/>
      <c r="V49" s="66"/>
    </row>
    <row r="50" spans="1:23" s="51" customFormat="1" hidden="1" thickTop="1">
      <c r="A50" s="46" t="s">
        <v>37</v>
      </c>
      <c r="B50" s="395"/>
      <c r="C50" s="75"/>
      <c r="D50" s="46"/>
      <c r="E50" s="46"/>
      <c r="F50" s="46"/>
      <c r="G50" s="46"/>
      <c r="H50" s="46"/>
      <c r="I50" s="354"/>
      <c r="J50" s="46"/>
      <c r="K50" s="46"/>
      <c r="L50" s="46"/>
      <c r="M50" s="85">
        <v>81.42</v>
      </c>
      <c r="N50" s="91"/>
      <c r="O50" s="91"/>
      <c r="P50" s="57" t="s">
        <v>8</v>
      </c>
      <c r="Q50" s="71"/>
      <c r="R50" s="71"/>
      <c r="S50" s="72"/>
      <c r="U50" s="65"/>
      <c r="V50" s="66"/>
    </row>
    <row r="51" spans="1:23" s="51" customFormat="1" hidden="1" thickTop="1">
      <c r="A51" s="46" t="s">
        <v>36</v>
      </c>
      <c r="B51" s="395"/>
      <c r="C51" s="75"/>
      <c r="D51" s="46"/>
      <c r="E51" s="46"/>
      <c r="F51" s="140"/>
      <c r="G51" s="140"/>
      <c r="H51" s="140"/>
      <c r="I51" s="483"/>
      <c r="J51" s="140"/>
      <c r="K51" s="140"/>
      <c r="L51" s="140"/>
      <c r="M51" s="100">
        <v>18.100000000000001</v>
      </c>
      <c r="N51" s="91"/>
      <c r="O51" s="91"/>
      <c r="P51" s="57" t="s">
        <v>8</v>
      </c>
      <c r="Q51" s="71"/>
      <c r="R51" s="71"/>
      <c r="S51" s="72"/>
      <c r="U51" s="65"/>
      <c r="V51" s="66"/>
    </row>
    <row r="52" spans="1:23" s="51" customFormat="1" ht="17" thickTop="1">
      <c r="A52" s="44"/>
      <c r="B52" s="398" t="b">
        <f ca="1">B36='Bank Rec'!C11</f>
        <v>1</v>
      </c>
      <c r="C52" s="72">
        <f ca="1">B36-'Payments Receipts Cash Book'!J53</f>
        <v>0</v>
      </c>
      <c r="D52" s="72"/>
      <c r="E52" s="72">
        <f ca="1">C36-E36</f>
        <v>-29.554000000000087</v>
      </c>
      <c r="F52" s="44"/>
      <c r="G52" s="72"/>
      <c r="H52" s="44"/>
      <c r="I52" s="337"/>
      <c r="J52" s="44"/>
      <c r="K52" s="44"/>
      <c r="L52" s="44"/>
      <c r="M52" s="101"/>
      <c r="N52" s="91"/>
      <c r="O52" s="91"/>
      <c r="P52" s="77"/>
      <c r="Q52" s="71"/>
      <c r="R52" s="71"/>
      <c r="S52" s="72"/>
      <c r="U52" s="65"/>
      <c r="V52" s="66"/>
    </row>
    <row r="53" spans="1:23" s="51" customFormat="1" ht="16">
      <c r="A53" s="44"/>
      <c r="B53" s="399"/>
      <c r="C53" s="72"/>
      <c r="D53" s="44"/>
      <c r="E53" s="44"/>
      <c r="F53" s="44"/>
      <c r="G53" s="44"/>
      <c r="H53" s="44"/>
      <c r="I53" s="337"/>
      <c r="J53" s="44"/>
      <c r="K53" s="44"/>
      <c r="L53" s="44"/>
      <c r="M53" s="101"/>
      <c r="N53" s="91"/>
      <c r="O53" s="91"/>
      <c r="P53" s="77"/>
      <c r="Q53" s="71"/>
      <c r="R53" s="71"/>
      <c r="S53" s="72"/>
      <c r="U53" s="65"/>
      <c r="V53" s="66"/>
    </row>
    <row r="54" spans="1:23" s="44" customFormat="1" ht="36" customHeight="1">
      <c r="A54" s="79" t="s">
        <v>5</v>
      </c>
      <c r="B54" s="146" t="s">
        <v>67</v>
      </c>
      <c r="C54" s="147" t="s">
        <v>296</v>
      </c>
      <c r="D54" s="146" t="s">
        <v>68</v>
      </c>
      <c r="E54" s="49" t="s">
        <v>132</v>
      </c>
      <c r="F54" s="145" t="s">
        <v>75</v>
      </c>
      <c r="G54" s="50"/>
      <c r="H54" s="50"/>
      <c r="I54" s="479" t="s">
        <v>393</v>
      </c>
      <c r="J54" s="45" t="s">
        <v>394</v>
      </c>
      <c r="K54" s="50"/>
      <c r="L54" s="49" t="s">
        <v>67</v>
      </c>
      <c r="M54" s="92" t="str">
        <f>M3</f>
        <v>Actual 2021/22</v>
      </c>
      <c r="N54" s="92" t="s">
        <v>49</v>
      </c>
      <c r="O54" s="92" t="s">
        <v>49</v>
      </c>
      <c r="R54" s="61"/>
      <c r="S54" s="44" t="s">
        <v>8</v>
      </c>
      <c r="U54" s="44" t="s">
        <v>8</v>
      </c>
      <c r="W54" s="44">
        <v>0</v>
      </c>
    </row>
    <row r="55" spans="1:23" s="44" customFormat="1" ht="17">
      <c r="A55" s="152" t="s">
        <v>97</v>
      </c>
      <c r="B55" s="401">
        <f>'Payments Receipts Cash Book'!H12</f>
        <v>11992.689999999999</v>
      </c>
      <c r="C55" s="153">
        <v>0</v>
      </c>
      <c r="D55" s="115">
        <f t="shared" ref="D55:D62" si="3">B55-C55</f>
        <v>11992.689999999999</v>
      </c>
      <c r="E55" s="75">
        <f>B55</f>
        <v>11992.689999999999</v>
      </c>
      <c r="F55" s="141">
        <v>0</v>
      </c>
      <c r="G55" s="487" t="s">
        <v>122</v>
      </c>
      <c r="H55" s="46"/>
      <c r="I55" s="354">
        <v>0</v>
      </c>
      <c r="J55" s="75">
        <f>I55-C55</f>
        <v>0</v>
      </c>
      <c r="K55" s="46"/>
      <c r="L55" s="185">
        <v>0</v>
      </c>
      <c r="M55" s="185" t="s">
        <v>8</v>
      </c>
      <c r="N55" s="93">
        <v>495</v>
      </c>
      <c r="O55" s="83">
        <v>7258.46</v>
      </c>
      <c r="P55" s="56"/>
      <c r="R55" s="61"/>
      <c r="S55" s="44" t="s">
        <v>8</v>
      </c>
      <c r="U55" s="44" t="s">
        <v>8</v>
      </c>
      <c r="W55" s="44">
        <v>0</v>
      </c>
    </row>
    <row r="56" spans="1:23" s="44" customFormat="1" ht="16">
      <c r="A56" s="152" t="s">
        <v>98</v>
      </c>
      <c r="B56" s="401">
        <f>'Payments Receipts Cash Book'!J12</f>
        <v>200</v>
      </c>
      <c r="C56" s="54">
        <v>0</v>
      </c>
      <c r="D56" s="115">
        <f t="shared" si="3"/>
        <v>200</v>
      </c>
      <c r="E56" s="75">
        <f t="shared" ref="E56:E62" si="4">B56</f>
        <v>200</v>
      </c>
      <c r="F56" s="141">
        <v>0</v>
      </c>
      <c r="G56" s="488"/>
      <c r="H56" s="46"/>
      <c r="I56" s="354">
        <v>0</v>
      </c>
      <c r="J56" s="75">
        <f t="shared" ref="J56:J62" si="5">I56-C56</f>
        <v>0</v>
      </c>
      <c r="K56" s="46"/>
      <c r="L56" s="185">
        <v>2950</v>
      </c>
      <c r="M56" s="185">
        <f>891+2000</f>
        <v>2891</v>
      </c>
      <c r="N56" s="93">
        <v>285.5</v>
      </c>
      <c r="O56" s="83">
        <v>0</v>
      </c>
      <c r="P56" s="56"/>
      <c r="R56" s="61"/>
      <c r="S56" s="44" t="s">
        <v>21</v>
      </c>
      <c r="U56" s="44" t="s">
        <v>8</v>
      </c>
      <c r="W56" s="44">
        <v>754.64</v>
      </c>
    </row>
    <row r="57" spans="1:23" s="44" customFormat="1" ht="17">
      <c r="A57" s="152" t="s">
        <v>9</v>
      </c>
      <c r="B57" s="401">
        <f>'Bank Rec'!C8+'Bank Rec'!C9</f>
        <v>0.48</v>
      </c>
      <c r="C57" s="54">
        <v>0</v>
      </c>
      <c r="D57" s="115">
        <f t="shared" si="3"/>
        <v>0.48</v>
      </c>
      <c r="E57" s="75">
        <f t="shared" si="4"/>
        <v>0.48</v>
      </c>
      <c r="F57" s="141">
        <v>0</v>
      </c>
      <c r="G57" s="488"/>
      <c r="H57" s="46"/>
      <c r="I57" s="354">
        <v>0</v>
      </c>
      <c r="J57" s="75">
        <f t="shared" si="5"/>
        <v>0</v>
      </c>
      <c r="K57" s="46"/>
      <c r="L57" s="185">
        <v>0.23</v>
      </c>
      <c r="M57" s="185" t="s">
        <v>8</v>
      </c>
      <c r="N57" s="93">
        <v>0</v>
      </c>
      <c r="O57" s="83">
        <v>0.03</v>
      </c>
      <c r="P57" s="56"/>
      <c r="R57" s="61"/>
    </row>
    <row r="58" spans="1:23" s="44" customFormat="1" ht="17">
      <c r="A58" s="152" t="s">
        <v>14</v>
      </c>
      <c r="B58" s="401">
        <v>0</v>
      </c>
      <c r="C58" s="54">
        <v>0</v>
      </c>
      <c r="D58" s="115">
        <f t="shared" si="3"/>
        <v>0</v>
      </c>
      <c r="E58" s="75">
        <v>1000</v>
      </c>
      <c r="F58" s="141">
        <v>0</v>
      </c>
      <c r="G58" s="488"/>
      <c r="H58" s="46"/>
      <c r="I58" s="354">
        <v>0</v>
      </c>
      <c r="J58" s="75">
        <f t="shared" si="5"/>
        <v>0</v>
      </c>
      <c r="K58" s="46"/>
      <c r="L58" s="185">
        <v>0</v>
      </c>
      <c r="M58" s="185" t="s">
        <v>8</v>
      </c>
      <c r="N58" s="93"/>
      <c r="O58" s="83"/>
      <c r="P58" s="56"/>
      <c r="R58" s="61"/>
    </row>
    <row r="59" spans="1:23" s="44" customFormat="1" ht="16">
      <c r="A59" s="152" t="s">
        <v>100</v>
      </c>
      <c r="B59" s="401">
        <v>0</v>
      </c>
      <c r="C59" s="54">
        <v>0</v>
      </c>
      <c r="D59" s="115">
        <f t="shared" si="3"/>
        <v>0</v>
      </c>
      <c r="E59" s="75">
        <f t="shared" si="4"/>
        <v>0</v>
      </c>
      <c r="F59" s="141">
        <v>0</v>
      </c>
      <c r="G59" s="488"/>
      <c r="H59" s="46"/>
      <c r="I59" s="354">
        <v>0</v>
      </c>
      <c r="J59" s="75">
        <f t="shared" si="5"/>
        <v>0</v>
      </c>
      <c r="K59" s="46"/>
      <c r="L59" s="185">
        <v>0</v>
      </c>
      <c r="M59" s="84">
        <v>1200</v>
      </c>
      <c r="N59" s="93"/>
      <c r="O59" s="83">
        <v>4373.87</v>
      </c>
      <c r="P59" s="56"/>
      <c r="R59" s="61"/>
    </row>
    <row r="60" spans="1:23" s="44" customFormat="1" ht="16">
      <c r="A60" s="152" t="s">
        <v>4</v>
      </c>
      <c r="B60" s="401">
        <f>'Payments Receipts Cash Book'!G12</f>
        <v>23186.010000000002</v>
      </c>
      <c r="C60" s="54">
        <v>23186.01</v>
      </c>
      <c r="D60" s="115">
        <f t="shared" si="3"/>
        <v>0</v>
      </c>
      <c r="E60" s="75">
        <f>C60</f>
        <v>23186.01</v>
      </c>
      <c r="F60" s="141">
        <f>C60</f>
        <v>23186.01</v>
      </c>
      <c r="G60" s="488"/>
      <c r="H60" s="46"/>
      <c r="I60" s="484">
        <f ca="1">I36</f>
        <v>23187.944899999999</v>
      </c>
      <c r="J60" s="75">
        <f t="shared" ca="1" si="5"/>
        <v>1.9349000000001979</v>
      </c>
      <c r="K60" s="46"/>
      <c r="L60" s="185">
        <v>23186.01</v>
      </c>
      <c r="M60" s="84">
        <v>16622</v>
      </c>
      <c r="N60" s="93"/>
      <c r="O60" s="83">
        <v>16622</v>
      </c>
      <c r="P60" s="56"/>
      <c r="R60" s="61"/>
    </row>
    <row r="61" spans="1:23" s="44" customFormat="1" ht="16">
      <c r="A61" s="400" t="s">
        <v>351</v>
      </c>
      <c r="B61" s="401">
        <f>'Payments Receipts Cash Book'!I12</f>
        <v>40</v>
      </c>
      <c r="C61" s="54">
        <v>0</v>
      </c>
      <c r="D61" s="115">
        <f t="shared" si="3"/>
        <v>40</v>
      </c>
      <c r="E61" s="75">
        <f t="shared" si="4"/>
        <v>40</v>
      </c>
      <c r="F61" s="141">
        <v>0</v>
      </c>
      <c r="G61" s="488"/>
      <c r="H61" s="46"/>
      <c r="I61" s="354">
        <v>0</v>
      </c>
      <c r="J61" s="75">
        <f t="shared" si="5"/>
        <v>0</v>
      </c>
      <c r="K61" s="46"/>
      <c r="L61" s="185">
        <v>14590.23</v>
      </c>
      <c r="M61" s="84"/>
      <c r="N61" s="93"/>
      <c r="O61" s="83"/>
      <c r="P61" s="56"/>
      <c r="R61" s="61"/>
    </row>
    <row r="62" spans="1:23" s="398" customFormat="1" ht="16">
      <c r="A62" s="400" t="s">
        <v>99</v>
      </c>
      <c r="B62" s="401">
        <f>'Payments Receipts Cash Book'!F12</f>
        <v>926.12</v>
      </c>
      <c r="C62" s="402">
        <v>0</v>
      </c>
      <c r="D62" s="401">
        <f t="shared" si="3"/>
        <v>926.12</v>
      </c>
      <c r="E62" s="403">
        <f t="shared" si="4"/>
        <v>926.12</v>
      </c>
      <c r="F62" s="404">
        <v>0</v>
      </c>
      <c r="G62" s="489"/>
      <c r="H62" s="395"/>
      <c r="I62" s="354">
        <v>0</v>
      </c>
      <c r="J62" s="75">
        <f t="shared" si="5"/>
        <v>0</v>
      </c>
      <c r="K62" s="395"/>
      <c r="L62" s="405">
        <v>1577.76</v>
      </c>
      <c r="M62" s="405">
        <v>1214.23</v>
      </c>
      <c r="N62" s="406">
        <v>0</v>
      </c>
      <c r="O62" s="397">
        <v>2032.87</v>
      </c>
      <c r="P62" s="407"/>
      <c r="R62" s="408"/>
    </row>
    <row r="63" spans="1:23" s="51" customFormat="1" ht="17" thickBot="1">
      <c r="A63" s="80" t="s">
        <v>23</v>
      </c>
      <c r="B63" s="117">
        <f>SUM(B55:B62)</f>
        <v>36345.300000000003</v>
      </c>
      <c r="C63" s="102">
        <f>SUM(C55:C62)</f>
        <v>23186.01</v>
      </c>
      <c r="D63" s="117">
        <f>SUM(D55:D62)</f>
        <v>13159.289999999999</v>
      </c>
      <c r="E63" s="113">
        <f>SUM(E55:E62)</f>
        <v>37345.299999999996</v>
      </c>
      <c r="F63" s="142">
        <f>SUM(F55:F62)</f>
        <v>23186.01</v>
      </c>
      <c r="G63" s="81"/>
      <c r="H63" s="81"/>
      <c r="I63" s="485">
        <f ca="1">SUM(I55:I62)</f>
        <v>23187.944899999999</v>
      </c>
      <c r="J63" s="116">
        <f ca="1">J60</f>
        <v>1.9349000000001979</v>
      </c>
      <c r="K63" s="81"/>
      <c r="L63" s="94">
        <f>SUM(L55:L62)</f>
        <v>42304.23</v>
      </c>
      <c r="M63" s="94">
        <f>SUM(M55:M62)</f>
        <v>21927.23</v>
      </c>
      <c r="N63" s="95">
        <f>SUM(N55:N62)</f>
        <v>780.5</v>
      </c>
      <c r="O63" s="64">
        <f>SUM(O55:O62)</f>
        <v>30287.23</v>
      </c>
      <c r="R63" s="65"/>
    </row>
    <row r="64" spans="1:23" s="51" customFormat="1" ht="17" thickTop="1">
      <c r="B64" s="51" t="b">
        <f>B63='Bank Rec'!D9</f>
        <v>1</v>
      </c>
      <c r="I64" s="367"/>
      <c r="M64" s="78" t="s">
        <v>8</v>
      </c>
      <c r="N64" s="71"/>
      <c r="O64" s="71"/>
      <c r="R64" s="65"/>
    </row>
    <row r="65" spans="1:22" s="51" customFormat="1" ht="16">
      <c r="A65" s="45" t="s">
        <v>127</v>
      </c>
      <c r="B65" s="422" t="s">
        <v>54</v>
      </c>
      <c r="C65" s="188" t="s">
        <v>66</v>
      </c>
      <c r="D65" s="188" t="s">
        <v>119</v>
      </c>
      <c r="F65" s="143">
        <f ca="1">F63-F36</f>
        <v>-114.11869999999908</v>
      </c>
      <c r="H65" s="188" t="s">
        <v>416</v>
      </c>
      <c r="I65" s="367"/>
      <c r="M65" s="78"/>
      <c r="N65" s="71"/>
      <c r="O65" s="71"/>
      <c r="R65" s="65"/>
    </row>
    <row r="66" spans="1:22">
      <c r="A66" s="151" t="s">
        <v>120</v>
      </c>
      <c r="B66" s="422">
        <v>310.45</v>
      </c>
      <c r="C66" s="188">
        <v>311.18</v>
      </c>
      <c r="D66" s="188">
        <v>312.89</v>
      </c>
      <c r="E66" s="1">
        <f>D66-C66</f>
        <v>1.7099999999999795</v>
      </c>
      <c r="H66" s="188">
        <f>D66</f>
        <v>312.89</v>
      </c>
      <c r="M66" s="96"/>
      <c r="N66" s="96"/>
      <c r="O66" s="96"/>
      <c r="P66" s="6"/>
      <c r="Q66" s="6"/>
      <c r="R66" s="6"/>
      <c r="V66" s="1"/>
    </row>
    <row r="67" spans="1:22">
      <c r="A67" s="151" t="s">
        <v>128</v>
      </c>
      <c r="B67" s="403">
        <f>M60/B66</f>
        <v>53.541633113222744</v>
      </c>
      <c r="C67" s="189">
        <f>B60/C66</f>
        <v>74.509962079825186</v>
      </c>
      <c r="D67" s="189">
        <f>F60/D66</f>
        <v>74.102751765796285</v>
      </c>
      <c r="G67" s="1" t="s">
        <v>8</v>
      </c>
      <c r="H67" s="189">
        <f ca="1">I63/H66</f>
        <v>74.108935728211193</v>
      </c>
      <c r="M67" s="96"/>
      <c r="N67" s="96"/>
      <c r="O67" s="96"/>
      <c r="P67" s="6"/>
      <c r="Q67" s="6"/>
      <c r="R67" s="6"/>
      <c r="V67" s="1"/>
    </row>
    <row r="68" spans="1:22">
      <c r="A68" s="151" t="s">
        <v>80</v>
      </c>
      <c r="B68" s="403"/>
      <c r="C68" s="189">
        <f>C67-B67</f>
        <v>20.968328966602442</v>
      </c>
      <c r="D68" s="189">
        <f>D67-C67</f>
        <v>-0.40721031402890162</v>
      </c>
      <c r="H68" s="189">
        <f ca="1">H67-D67</f>
        <v>6.1839624149087058E-3</v>
      </c>
      <c r="M68" s="96"/>
      <c r="N68" s="96"/>
      <c r="O68" s="96"/>
      <c r="P68" s="6"/>
      <c r="Q68" s="6"/>
      <c r="R68" s="6"/>
      <c r="V68" s="1"/>
    </row>
    <row r="69" spans="1:22">
      <c r="A69" s="165"/>
      <c r="B69" s="399"/>
      <c r="C69" s="165"/>
      <c r="D69" s="184"/>
      <c r="G69" s="96" t="s">
        <v>8</v>
      </c>
      <c r="M69" s="96"/>
      <c r="N69" s="96"/>
      <c r="O69" s="96"/>
      <c r="P69" s="6"/>
      <c r="Q69" s="6"/>
      <c r="R69" s="6"/>
      <c r="V69" s="1"/>
    </row>
    <row r="70" spans="1:22" ht="19">
      <c r="A70" s="165" t="s">
        <v>121</v>
      </c>
      <c r="B70" s="149"/>
      <c r="C70" s="149"/>
      <c r="D70" s="149"/>
      <c r="G70" s="96"/>
      <c r="M70" s="96"/>
      <c r="N70" s="96"/>
      <c r="O70" s="96"/>
      <c r="P70" s="6"/>
      <c r="Q70" s="6"/>
      <c r="R70" s="6"/>
      <c r="V70" s="1"/>
    </row>
    <row r="71" spans="1:22" ht="19">
      <c r="E71" s="193"/>
      <c r="F71" s="150"/>
      <c r="G71" s="96" t="s">
        <v>8</v>
      </c>
      <c r="M71" s="96"/>
      <c r="N71" s="96"/>
      <c r="O71" s="96"/>
      <c r="P71" s="6"/>
      <c r="Q71" s="6"/>
      <c r="R71" s="6"/>
      <c r="V71" s="1"/>
    </row>
    <row r="72" spans="1:22">
      <c r="A72" s="367" t="s">
        <v>62</v>
      </c>
      <c r="B72" s="51"/>
      <c r="M72" s="96"/>
      <c r="N72" s="98"/>
      <c r="O72" s="98"/>
      <c r="P72" s="6"/>
      <c r="Q72" s="6"/>
      <c r="R72" s="6"/>
      <c r="V72" s="1"/>
    </row>
    <row r="73" spans="1:22">
      <c r="A73" s="112" t="s">
        <v>134</v>
      </c>
      <c r="B73" s="112" t="s">
        <v>10</v>
      </c>
      <c r="M73" s="97"/>
      <c r="N73" s="98"/>
      <c r="O73" s="96"/>
      <c r="P73" s="6"/>
      <c r="Q73" s="6"/>
      <c r="R73" s="6"/>
      <c r="S73" s="6"/>
      <c r="T73" s="6"/>
      <c r="U73" s="6"/>
      <c r="V73" s="1"/>
    </row>
    <row r="74" spans="1:22">
      <c r="A74" s="214" t="s">
        <v>312</v>
      </c>
      <c r="B74" s="215">
        <v>213.75</v>
      </c>
      <c r="M74" s="97"/>
      <c r="N74" s="98"/>
      <c r="O74" s="96"/>
      <c r="P74" s="6"/>
      <c r="Q74" s="6"/>
      <c r="R74" s="6"/>
      <c r="S74" s="6"/>
      <c r="T74" s="6"/>
      <c r="U74" s="6"/>
      <c r="V74" s="1"/>
    </row>
    <row r="75" spans="1:22">
      <c r="A75" s="365" t="s">
        <v>7</v>
      </c>
      <c r="B75" s="215">
        <v>-560</v>
      </c>
      <c r="M75" s="97"/>
      <c r="N75" s="98"/>
      <c r="O75" s="96"/>
      <c r="P75" s="6"/>
      <c r="Q75" s="6"/>
      <c r="R75" s="6"/>
      <c r="S75" s="6"/>
      <c r="T75" s="6"/>
      <c r="U75" s="6"/>
      <c r="V75" s="1"/>
    </row>
    <row r="76" spans="1:22">
      <c r="A76" s="213" t="s">
        <v>1</v>
      </c>
      <c r="B76" s="215">
        <v>346.25</v>
      </c>
      <c r="M76" s="97"/>
      <c r="N76" s="98"/>
      <c r="O76" s="96"/>
      <c r="P76" s="6"/>
      <c r="Q76" s="6"/>
      <c r="R76" s="6"/>
      <c r="S76" s="6"/>
      <c r="T76" s="6"/>
      <c r="U76" s="6"/>
      <c r="V76" s="1"/>
    </row>
    <row r="77" spans="1:22">
      <c r="A77" s="213" t="s">
        <v>30</v>
      </c>
      <c r="B77" s="215">
        <v>-77.03</v>
      </c>
      <c r="M77" s="97"/>
      <c r="N77" s="98"/>
      <c r="O77" s="96"/>
      <c r="P77" s="6"/>
      <c r="Q77" s="6"/>
      <c r="R77" s="6"/>
      <c r="S77" s="6"/>
      <c r="T77" s="6"/>
      <c r="U77" s="6"/>
      <c r="V77" s="1"/>
    </row>
    <row r="78" spans="1:22">
      <c r="A78" s="213" t="s">
        <v>90</v>
      </c>
      <c r="B78" s="215">
        <v>22.32</v>
      </c>
      <c r="M78" s="53"/>
      <c r="N78" s="6"/>
      <c r="P78" s="6"/>
      <c r="Q78" s="6"/>
      <c r="R78" s="6"/>
      <c r="S78" s="6"/>
      <c r="T78" s="6"/>
      <c r="U78" s="6"/>
      <c r="V78" s="1"/>
    </row>
    <row r="79" spans="1:22">
      <c r="A79" s="369"/>
      <c r="B79" s="215">
        <v>54.71</v>
      </c>
      <c r="M79" s="53"/>
      <c r="N79" s="6"/>
      <c r="P79" s="6"/>
      <c r="Q79" s="6"/>
      <c r="R79" s="6"/>
      <c r="S79" s="6"/>
      <c r="T79" s="6"/>
      <c r="U79" s="6"/>
      <c r="V79" s="1"/>
    </row>
    <row r="80" spans="1:22" ht="19" thickBot="1">
      <c r="B80" s="277">
        <f>SUM(B74:B79)</f>
        <v>0</v>
      </c>
      <c r="M80" s="53"/>
      <c r="N80" s="6"/>
      <c r="P80" s="6"/>
      <c r="Q80" s="6"/>
      <c r="R80" s="6"/>
      <c r="S80" s="6"/>
      <c r="T80" s="6"/>
      <c r="U80" s="6"/>
      <c r="V80" s="1"/>
    </row>
    <row r="81" spans="13:22" ht="19" thickTop="1">
      <c r="M81" s="53"/>
      <c r="N81" s="6"/>
      <c r="P81" s="6"/>
      <c r="Q81" s="6"/>
      <c r="R81" s="6"/>
      <c r="S81" s="6"/>
      <c r="T81" s="6"/>
      <c r="U81" s="6"/>
      <c r="V81" s="1"/>
    </row>
    <row r="82" spans="13:22">
      <c r="M82" s="53"/>
      <c r="N82" s="6"/>
      <c r="P82" s="6"/>
      <c r="Q82" s="6"/>
      <c r="R82" s="6"/>
      <c r="S82" s="6"/>
      <c r="T82" s="6"/>
      <c r="U82" s="6"/>
      <c r="V82" s="1"/>
    </row>
    <row r="83" spans="13:22">
      <c r="M83" s="53"/>
      <c r="N83" s="6"/>
      <c r="P83" s="6"/>
      <c r="Q83" s="6"/>
      <c r="R83" s="6"/>
      <c r="S83" s="6"/>
      <c r="T83" s="6"/>
      <c r="U83" s="6"/>
      <c r="V83" s="1"/>
    </row>
    <row r="84" spans="13:22">
      <c r="M84" s="53"/>
      <c r="N84" s="6"/>
      <c r="P84" s="6"/>
      <c r="Q84" s="6"/>
      <c r="R84" s="6"/>
      <c r="S84" s="6"/>
      <c r="T84" s="6"/>
      <c r="U84" s="6"/>
      <c r="V84" s="1"/>
    </row>
    <row r="85" spans="13:22">
      <c r="M85" s="53"/>
      <c r="N85" s="6"/>
      <c r="P85" s="6"/>
      <c r="Q85" s="6"/>
      <c r="R85" s="6"/>
      <c r="S85" s="6"/>
      <c r="T85" s="6"/>
      <c r="U85" s="6"/>
      <c r="V85" s="1"/>
    </row>
    <row r="86" spans="13:22">
      <c r="M86" s="53"/>
      <c r="N86" s="6"/>
      <c r="P86" s="6"/>
      <c r="Q86" s="6"/>
      <c r="R86" s="6"/>
      <c r="S86" s="6"/>
      <c r="T86" s="6"/>
      <c r="U86" s="6"/>
      <c r="V86" s="1"/>
    </row>
    <row r="87" spans="13:22">
      <c r="M87" s="53"/>
      <c r="N87" s="6"/>
      <c r="P87" s="6"/>
      <c r="Q87" s="6"/>
      <c r="R87" s="6"/>
      <c r="S87" s="6"/>
      <c r="T87" s="6"/>
      <c r="U87" s="6"/>
      <c r="V87" s="1"/>
    </row>
    <row r="88" spans="13:22">
      <c r="M88" s="53"/>
      <c r="N88" s="6"/>
      <c r="P88" s="6"/>
      <c r="Q88" s="6"/>
      <c r="R88" s="6"/>
      <c r="S88" s="6"/>
      <c r="T88" s="6"/>
      <c r="U88" s="6"/>
      <c r="V88" s="1"/>
    </row>
    <row r="89" spans="13:22">
      <c r="M89" s="53"/>
      <c r="N89" s="6"/>
      <c r="P89" s="6"/>
      <c r="Q89" s="6"/>
      <c r="R89" s="6"/>
      <c r="S89" s="6"/>
      <c r="T89" s="6"/>
      <c r="U89" s="6"/>
      <c r="V89" s="1"/>
    </row>
    <row r="90" spans="13:22">
      <c r="M90" s="53"/>
      <c r="N90" s="6"/>
      <c r="P90" s="6"/>
      <c r="Q90" s="6"/>
      <c r="R90" s="6"/>
      <c r="S90" s="6"/>
      <c r="T90" s="6"/>
      <c r="U90" s="6"/>
      <c r="V90" s="1"/>
    </row>
    <row r="91" spans="13:22">
      <c r="M91" s="53"/>
      <c r="N91" s="6"/>
      <c r="P91" s="6"/>
      <c r="Q91" s="6"/>
      <c r="R91" s="6"/>
      <c r="S91" s="6"/>
      <c r="T91" s="6"/>
      <c r="U91" s="6"/>
      <c r="V91" s="1"/>
    </row>
    <row r="92" spans="13:22">
      <c r="M92" s="53"/>
      <c r="N92" s="6"/>
      <c r="P92" s="6"/>
      <c r="Q92" s="6"/>
      <c r="R92" s="6"/>
      <c r="S92" s="6"/>
      <c r="T92" s="6"/>
      <c r="U92" s="6"/>
      <c r="V92" s="1"/>
    </row>
    <row r="93" spans="13:22">
      <c r="M93" s="53"/>
      <c r="N93" s="6"/>
      <c r="P93" s="6"/>
      <c r="Q93" s="6"/>
      <c r="R93" s="6"/>
      <c r="S93" s="6"/>
      <c r="T93" s="6"/>
      <c r="U93" s="6"/>
      <c r="V93" s="1"/>
    </row>
    <row r="94" spans="13:22">
      <c r="M94" s="53"/>
      <c r="N94" s="6"/>
      <c r="P94" s="6"/>
      <c r="Q94" s="6"/>
      <c r="R94" s="6"/>
      <c r="S94" s="6"/>
      <c r="T94" s="6"/>
      <c r="U94" s="6"/>
      <c r="V94" s="1"/>
    </row>
    <row r="95" spans="13:22">
      <c r="M95" s="53"/>
      <c r="N95" s="6"/>
      <c r="P95" s="6"/>
      <c r="Q95" s="6"/>
      <c r="R95" s="6"/>
      <c r="S95" s="6"/>
      <c r="T95" s="6"/>
      <c r="U95" s="6"/>
      <c r="V95" s="1"/>
    </row>
    <row r="96" spans="13:22">
      <c r="M96" s="53"/>
      <c r="N96" s="6"/>
      <c r="P96" s="6"/>
      <c r="Q96" s="6"/>
      <c r="R96" s="6"/>
      <c r="S96" s="6"/>
      <c r="T96" s="6"/>
      <c r="U96" s="6"/>
      <c r="V96" s="1"/>
    </row>
    <row r="97" spans="13:22">
      <c r="M97" s="53"/>
      <c r="N97" s="6"/>
      <c r="P97" s="6"/>
      <c r="Q97" s="6"/>
      <c r="R97" s="6"/>
      <c r="S97" s="6"/>
      <c r="T97" s="6"/>
      <c r="U97" s="6"/>
      <c r="V97" s="1"/>
    </row>
    <row r="98" spans="13:22">
      <c r="M98" s="53"/>
      <c r="N98" s="6"/>
      <c r="P98" s="6"/>
      <c r="Q98" s="6"/>
      <c r="R98" s="6"/>
      <c r="S98" s="6"/>
      <c r="T98" s="6"/>
      <c r="U98" s="6"/>
      <c r="V98" s="1"/>
    </row>
    <row r="99" spans="13:22">
      <c r="M99" s="53"/>
      <c r="N99" s="6"/>
      <c r="P99" s="6"/>
      <c r="Q99" s="6"/>
      <c r="R99" s="6"/>
      <c r="S99" s="6"/>
      <c r="T99" s="6"/>
      <c r="U99" s="6"/>
      <c r="V99" s="1"/>
    </row>
    <row r="100" spans="13:22">
      <c r="M100" s="53"/>
      <c r="N100" s="6"/>
      <c r="P100" s="6"/>
      <c r="Q100" s="6"/>
      <c r="R100" s="6"/>
      <c r="S100" s="6"/>
      <c r="T100" s="6"/>
      <c r="U100" s="6"/>
      <c r="V100" s="1"/>
    </row>
    <row r="101" spans="13:22">
      <c r="M101" s="53"/>
      <c r="N101" s="6"/>
      <c r="P101" s="6"/>
      <c r="Q101" s="6"/>
      <c r="R101" s="6"/>
      <c r="S101" s="6"/>
      <c r="T101" s="6"/>
      <c r="U101" s="6"/>
      <c r="V101" s="1"/>
    </row>
    <row r="102" spans="13:22">
      <c r="M102" s="53"/>
      <c r="N102" s="6"/>
      <c r="P102" s="6"/>
      <c r="Q102" s="6"/>
      <c r="R102" s="6"/>
      <c r="S102" s="6"/>
      <c r="T102" s="6"/>
      <c r="U102" s="6"/>
      <c r="V102" s="1"/>
    </row>
    <row r="103" spans="13:22">
      <c r="M103" s="53"/>
      <c r="N103" s="6"/>
      <c r="P103" s="6"/>
      <c r="Q103" s="6"/>
      <c r="R103" s="6"/>
      <c r="S103" s="6"/>
      <c r="T103" s="6"/>
      <c r="U103" s="6"/>
      <c r="V103" s="1"/>
    </row>
    <row r="104" spans="13:22">
      <c r="M104" s="53"/>
      <c r="N104" s="6"/>
      <c r="P104" s="6"/>
      <c r="Q104" s="6"/>
      <c r="R104" s="6"/>
      <c r="S104" s="6"/>
      <c r="T104" s="6"/>
      <c r="U104" s="6"/>
      <c r="V104" s="1"/>
    </row>
    <row r="105" spans="13:22">
      <c r="M105" s="53"/>
      <c r="N105" s="6"/>
      <c r="P105" s="6"/>
      <c r="Q105" s="6"/>
      <c r="R105" s="6"/>
      <c r="S105" s="6"/>
      <c r="T105" s="6"/>
      <c r="U105" s="6"/>
      <c r="V105" s="1"/>
    </row>
    <row r="106" spans="13:22">
      <c r="M106" s="53"/>
      <c r="N106" s="6"/>
      <c r="P106" s="6"/>
      <c r="Q106" s="6"/>
      <c r="R106" s="6"/>
      <c r="S106" s="6"/>
      <c r="T106" s="6"/>
      <c r="U106" s="6"/>
      <c r="V106" s="1"/>
    </row>
    <row r="107" spans="13:22">
      <c r="M107" s="53"/>
      <c r="N107" s="6"/>
      <c r="P107" s="6"/>
      <c r="Q107" s="6"/>
      <c r="R107" s="6"/>
      <c r="S107" s="6"/>
      <c r="T107" s="6"/>
      <c r="U107" s="6"/>
      <c r="V107" s="1"/>
    </row>
    <row r="108" spans="13:22">
      <c r="M108" s="53"/>
      <c r="N108" s="6"/>
      <c r="P108" s="6"/>
      <c r="Q108" s="6"/>
      <c r="R108" s="6"/>
      <c r="S108" s="6"/>
      <c r="T108" s="6"/>
      <c r="U108" s="6"/>
      <c r="V108" s="1"/>
    </row>
    <row r="109" spans="13:22">
      <c r="M109" s="53"/>
      <c r="N109" s="6"/>
      <c r="P109" s="6"/>
      <c r="Q109" s="6"/>
      <c r="R109" s="6"/>
      <c r="S109" s="6"/>
      <c r="T109" s="6"/>
      <c r="U109" s="6"/>
      <c r="V109" s="1"/>
    </row>
    <row r="110" spans="13:22">
      <c r="M110" s="53"/>
      <c r="N110" s="6"/>
      <c r="P110" s="6"/>
      <c r="Q110" s="6"/>
      <c r="R110" s="6"/>
      <c r="S110" s="6"/>
      <c r="T110" s="6"/>
      <c r="U110" s="6"/>
      <c r="V110" s="1"/>
    </row>
    <row r="111" spans="13:22">
      <c r="M111" s="53"/>
      <c r="N111" s="6"/>
      <c r="P111" s="6"/>
      <c r="Q111" s="6"/>
      <c r="R111" s="6"/>
      <c r="S111" s="6"/>
      <c r="T111" s="6"/>
      <c r="U111" s="6"/>
      <c r="V111" s="1"/>
    </row>
  </sheetData>
  <mergeCells count="1">
    <mergeCell ref="G55:G62"/>
  </mergeCells>
  <pageMargins left="0.7" right="0.7" top="0.75" bottom="0.75" header="0.3" footer="0.3"/>
  <pageSetup paperSize="9" scale="59" fitToHeight="2" orientation="portrait" copies="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D3B7E-0C1F-C344-9955-951BF9FA3C68}">
  <dimension ref="A1:B26"/>
  <sheetViews>
    <sheetView zoomScale="150" workbookViewId="0">
      <selection activeCell="D7" sqref="D7"/>
    </sheetView>
  </sheetViews>
  <sheetFormatPr baseColWidth="10" defaultRowHeight="16"/>
  <cols>
    <col min="1" max="1" width="35" style="3" bestFit="1" customWidth="1"/>
    <col min="2" max="2" width="11.5" style="3" bestFit="1" customWidth="1"/>
    <col min="3" max="16384" width="10.83203125" style="3"/>
  </cols>
  <sheetData>
    <row r="1" spans="1:2">
      <c r="A1" s="3" t="s">
        <v>151</v>
      </c>
    </row>
    <row r="2" spans="1:2">
      <c r="A2" s="3" t="s">
        <v>138</v>
      </c>
    </row>
    <row r="4" spans="1:2">
      <c r="A4" s="202" t="s">
        <v>153</v>
      </c>
    </row>
    <row r="5" spans="1:2">
      <c r="A5" s="3" t="s">
        <v>144</v>
      </c>
      <c r="B5" s="208">
        <v>15310</v>
      </c>
    </row>
    <row r="6" spans="1:2">
      <c r="A6" s="3" t="s">
        <v>145</v>
      </c>
      <c r="B6" s="208">
        <v>630</v>
      </c>
    </row>
    <row r="7" spans="1:2">
      <c r="A7" s="3" t="s">
        <v>146</v>
      </c>
      <c r="B7" s="208">
        <v>3060</v>
      </c>
    </row>
    <row r="8" spans="1:2" ht="17" thickBot="1">
      <c r="B8" s="209">
        <f>SUM(B5:B7)</f>
        <v>19000</v>
      </c>
    </row>
    <row r="9" spans="1:2" ht="17" thickTop="1">
      <c r="B9" s="212"/>
    </row>
    <row r="10" spans="1:2">
      <c r="A10" s="202" t="s">
        <v>152</v>
      </c>
      <c r="B10" s="208"/>
    </row>
    <row r="11" spans="1:2">
      <c r="A11" s="3" t="s">
        <v>147</v>
      </c>
      <c r="B11" s="208">
        <v>5690</v>
      </c>
    </row>
    <row r="12" spans="1:2">
      <c r="A12" s="3" t="s">
        <v>148</v>
      </c>
      <c r="B12" s="210">
        <v>14590.23</v>
      </c>
    </row>
    <row r="13" spans="1:2">
      <c r="A13" s="3" t="s">
        <v>57</v>
      </c>
      <c r="B13" s="210">
        <v>719.77</v>
      </c>
    </row>
    <row r="14" spans="1:2" ht="17" thickBot="1">
      <c r="B14" s="211">
        <f>SUM(B11:B13)</f>
        <v>21000</v>
      </c>
    </row>
    <row r="15" spans="1:2" ht="17" thickTop="1"/>
    <row r="16" spans="1:2">
      <c r="A16" s="202" t="s">
        <v>150</v>
      </c>
    </row>
    <row r="17" spans="1:2">
      <c r="A17" s="3" t="s">
        <v>149</v>
      </c>
      <c r="B17" s="210">
        <v>10000</v>
      </c>
    </row>
    <row r="18" spans="1:2">
      <c r="A18" s="3" t="s">
        <v>154</v>
      </c>
      <c r="B18" s="210">
        <v>14590.23</v>
      </c>
    </row>
    <row r="19" spans="1:2">
      <c r="A19" s="3" t="s">
        <v>155</v>
      </c>
      <c r="B19" s="210">
        <v>719.77</v>
      </c>
    </row>
    <row r="20" spans="1:2" ht="17" thickBot="1">
      <c r="B20" s="211">
        <f>SUM(B17:B19)</f>
        <v>25310</v>
      </c>
    </row>
    <row r="21" spans="1:2" ht="17" thickTop="1"/>
    <row r="22" spans="1:2">
      <c r="A22" s="3" t="s">
        <v>156</v>
      </c>
    </row>
    <row r="23" spans="1:2">
      <c r="A23" s="3" t="s">
        <v>158</v>
      </c>
    </row>
    <row r="25" spans="1:2">
      <c r="A25" s="3" t="s">
        <v>159</v>
      </c>
    </row>
    <row r="26" spans="1:2">
      <c r="A26" s="3" t="s">
        <v>157</v>
      </c>
    </row>
  </sheetData>
  <pageMargins left="0.7" right="0.7" top="0.75" bottom="0.75" header="0.3" footer="0.3"/>
  <pageSetup paperSize="9" orientation="portrait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2E335-E6C5-854C-92F6-98C345969FB6}">
  <sheetPr>
    <pageSetUpPr fitToPage="1"/>
  </sheetPr>
  <dimension ref="A1:H21"/>
  <sheetViews>
    <sheetView topLeftCell="A5" zoomScale="143" zoomScaleNormal="143" workbookViewId="0">
      <selection activeCell="F14" sqref="F14"/>
    </sheetView>
  </sheetViews>
  <sheetFormatPr baseColWidth="10" defaultRowHeight="13"/>
  <cols>
    <col min="1" max="1" width="17" customWidth="1"/>
    <col min="2" max="2" width="51.1640625" bestFit="1" customWidth="1"/>
    <col min="3" max="3" width="11" bestFit="1" customWidth="1"/>
    <col min="4" max="4" width="10.1640625" bestFit="1" customWidth="1"/>
    <col min="5" max="5" width="27.5" customWidth="1"/>
    <col min="6" max="6" width="23.1640625" bestFit="1" customWidth="1"/>
    <col min="7" max="7" width="9.1640625" bestFit="1" customWidth="1"/>
    <col min="8" max="8" width="32.33203125" bestFit="1" customWidth="1"/>
  </cols>
  <sheetData>
    <row r="1" spans="1:8" ht="16">
      <c r="A1" s="107" t="s">
        <v>161</v>
      </c>
    </row>
    <row r="3" spans="1:8" s="219" customFormat="1" ht="16">
      <c r="A3" s="219" t="s">
        <v>160</v>
      </c>
    </row>
    <row r="4" spans="1:8" s="219" customFormat="1" ht="16"/>
    <row r="5" spans="1:8" s="224" customFormat="1" ht="30" customHeight="1">
      <c r="A5" s="223" t="s">
        <v>164</v>
      </c>
      <c r="B5" s="223" t="s">
        <v>166</v>
      </c>
      <c r="C5" s="228" t="s">
        <v>162</v>
      </c>
      <c r="D5" s="228" t="s">
        <v>163</v>
      </c>
      <c r="E5" s="228" t="s">
        <v>178</v>
      </c>
      <c r="F5" s="228" t="s">
        <v>191</v>
      </c>
      <c r="G5" s="228" t="s">
        <v>175</v>
      </c>
      <c r="H5" s="228" t="s">
        <v>189</v>
      </c>
    </row>
    <row r="6" spans="1:8" s="221" customFormat="1" ht="15">
      <c r="A6" s="220" t="s">
        <v>165</v>
      </c>
      <c r="B6" s="220" t="s">
        <v>167</v>
      </c>
      <c r="C6" s="222">
        <v>2674.79</v>
      </c>
      <c r="D6" s="222"/>
      <c r="E6" s="222"/>
      <c r="F6" s="222"/>
      <c r="G6" s="222"/>
      <c r="H6" s="222"/>
    </row>
    <row r="7" spans="1:8" s="221" customFormat="1" ht="15">
      <c r="A7" s="220" t="s">
        <v>185</v>
      </c>
      <c r="B7" s="225" t="s">
        <v>179</v>
      </c>
      <c r="C7" s="222"/>
      <c r="D7" s="222">
        <v>27091.919999999998</v>
      </c>
      <c r="E7" s="222"/>
      <c r="F7" s="222"/>
      <c r="G7" s="222"/>
      <c r="H7" s="222"/>
    </row>
    <row r="8" spans="1:8" s="221" customFormat="1" ht="15">
      <c r="A8" s="220" t="s">
        <v>168</v>
      </c>
      <c r="B8" s="225" t="s">
        <v>182</v>
      </c>
      <c r="C8" s="222"/>
      <c r="D8" s="222">
        <v>2391.6999999999998</v>
      </c>
      <c r="E8" s="222">
        <v>2100</v>
      </c>
      <c r="F8" s="222"/>
      <c r="G8" s="222"/>
      <c r="H8" s="222">
        <f>E8</f>
        <v>2100</v>
      </c>
    </row>
    <row r="9" spans="1:8" s="221" customFormat="1" ht="15">
      <c r="A9" s="220" t="s">
        <v>169</v>
      </c>
      <c r="B9" s="225" t="s">
        <v>186</v>
      </c>
      <c r="C9" s="222"/>
      <c r="D9" s="222">
        <f>1590.79*2</f>
        <v>3181.58</v>
      </c>
      <c r="E9" s="222"/>
      <c r="F9" s="222"/>
      <c r="G9" s="222"/>
      <c r="H9" s="222"/>
    </row>
    <row r="10" spans="1:8" s="221" customFormat="1" ht="15">
      <c r="A10" s="220" t="s">
        <v>176</v>
      </c>
      <c r="B10" s="220" t="s">
        <v>171</v>
      </c>
      <c r="C10" s="222"/>
      <c r="D10" s="222"/>
      <c r="E10" s="222" t="s">
        <v>8</v>
      </c>
      <c r="F10" s="222"/>
      <c r="G10" s="222">
        <f>3629.23*2</f>
        <v>7258.46</v>
      </c>
      <c r="H10" s="222"/>
    </row>
    <row r="11" spans="1:8" s="221" customFormat="1" ht="15">
      <c r="A11" s="220" t="s">
        <v>170</v>
      </c>
      <c r="B11" s="220" t="s">
        <v>190</v>
      </c>
      <c r="C11" s="222"/>
      <c r="D11" s="222"/>
      <c r="E11" s="222" t="s">
        <v>8</v>
      </c>
      <c r="F11" s="222" t="s">
        <v>8</v>
      </c>
      <c r="G11" s="222">
        <v>55.89</v>
      </c>
      <c r="H11" s="220"/>
    </row>
    <row r="12" spans="1:8" s="221" customFormat="1" ht="15">
      <c r="A12" s="220" t="s">
        <v>172</v>
      </c>
      <c r="B12" s="225" t="s">
        <v>177</v>
      </c>
      <c r="C12" s="222"/>
      <c r="D12" s="222"/>
      <c r="E12" s="222">
        <f>750*3+375+375+1197.15+87.86</f>
        <v>4285.0099999999993</v>
      </c>
      <c r="F12" s="222"/>
      <c r="G12" s="222"/>
      <c r="H12" s="222">
        <f>E12</f>
        <v>4285.0099999999993</v>
      </c>
    </row>
    <row r="13" spans="1:8" s="221" customFormat="1" ht="15">
      <c r="A13" s="220" t="s">
        <v>173</v>
      </c>
      <c r="B13" s="225" t="s">
        <v>174</v>
      </c>
      <c r="C13" s="222"/>
      <c r="D13" s="222"/>
      <c r="E13" s="222">
        <v>476.1</v>
      </c>
      <c r="F13" s="222"/>
      <c r="G13" s="222"/>
      <c r="H13" s="222">
        <f>E13</f>
        <v>476.1</v>
      </c>
    </row>
    <row r="14" spans="1:8" ht="15">
      <c r="A14" s="217"/>
      <c r="B14" s="217"/>
      <c r="C14" s="227"/>
      <c r="D14" s="227"/>
      <c r="E14" s="227"/>
      <c r="F14" s="227">
        <v>7314.35</v>
      </c>
      <c r="G14" s="227"/>
      <c r="H14" s="222" t="s">
        <v>8</v>
      </c>
    </row>
    <row r="15" spans="1:8" ht="14" thickBot="1">
      <c r="C15" s="226">
        <f>SUM(C6:C13)</f>
        <v>2674.79</v>
      </c>
      <c r="D15" s="226">
        <f>SUM(D6:D13)</f>
        <v>32665.199999999997</v>
      </c>
      <c r="E15" s="226">
        <f>SUM(E6:E13)</f>
        <v>6861.11</v>
      </c>
      <c r="F15" s="226">
        <f>SUM(F6:F13)</f>
        <v>0</v>
      </c>
      <c r="G15" s="226">
        <v>0</v>
      </c>
      <c r="H15" s="226">
        <f>SUM(H6:H13)</f>
        <v>6861.11</v>
      </c>
    </row>
    <row r="16" spans="1:8" ht="14" thickTop="1"/>
    <row r="17" spans="1:2" ht="15">
      <c r="A17" s="207" t="s">
        <v>180</v>
      </c>
      <c r="B17" s="221" t="s">
        <v>181</v>
      </c>
    </row>
    <row r="18" spans="1:2" ht="15">
      <c r="A18" s="207" t="s">
        <v>183</v>
      </c>
      <c r="B18" s="221" t="s">
        <v>184</v>
      </c>
    </row>
    <row r="19" spans="1:2" ht="14">
      <c r="A19" s="207" t="s">
        <v>187</v>
      </c>
      <c r="B19" s="218" t="s">
        <v>188</v>
      </c>
    </row>
    <row r="21" spans="1:2">
      <c r="B21" s="207"/>
    </row>
  </sheetData>
  <pageMargins left="0.7" right="0.7" top="0.75" bottom="0.75" header="0.3" footer="0.3"/>
  <pageSetup paperSize="9" scale="68" orientation="landscape" horizontalDpi="0" verticalDpi="0"/>
  <ignoredErrors>
    <ignoredError sqref="A3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Bank Rec</vt:lpstr>
      <vt:lpstr>Reserves</vt:lpstr>
      <vt:lpstr>Budget vs Actual  </vt:lpstr>
      <vt:lpstr>Payments Receipts Cash Book</vt:lpstr>
      <vt:lpstr>Gudgeons Rec</vt:lpstr>
      <vt:lpstr>Clerks Timesheet</vt:lpstr>
      <vt:lpstr>Budget 2024 25</vt:lpstr>
      <vt:lpstr>Reconciliation re Green</vt:lpstr>
      <vt:lpstr>CIL</vt:lpstr>
      <vt:lpstr>Variances</vt:lpstr>
      <vt:lpstr>YEAR END P&amp;R</vt:lpstr>
      <vt:lpstr>'Bank Rec'!Print_Area</vt:lpstr>
      <vt:lpstr>'Budget 2024 25'!Print_Area</vt:lpstr>
      <vt:lpstr>'Budget vs Actual  '!Print_Area</vt:lpstr>
      <vt:lpstr>'Clerks Timesheet'!Print_Area</vt:lpstr>
      <vt:lpstr>'Payments Receipts Cash Book'!Print_Area</vt:lpstr>
      <vt:lpstr>Reserves!Print_Area</vt:lpstr>
      <vt:lpstr>Variances!Print_Area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Microsoft Office User</cp:lastModifiedBy>
  <cp:revision/>
  <cp:lastPrinted>2023-11-01T15:25:13Z</cp:lastPrinted>
  <dcterms:created xsi:type="dcterms:W3CDTF">2008-02-01T12:52:45Z</dcterms:created>
  <dcterms:modified xsi:type="dcterms:W3CDTF">2023-11-01T15:36:52Z</dcterms:modified>
  <cp:category/>
  <cp:contentStatus/>
</cp:coreProperties>
</file>