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aris\Documents\Finance\"/>
    </mc:Choice>
  </mc:AlternateContent>
  <xr:revisionPtr revIDLastSave="0" documentId="13_ncr:1_{57F3770A-C79A-4AD3-ABE9-4A326A99F6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nk Rec " sheetId="56" r:id="rId1"/>
    <sheet name="Bank Rec" sheetId="1" state="hidden" r:id="rId2"/>
    <sheet name="Payments Schedule for month" sheetId="57" r:id="rId3"/>
    <sheet name="Payments Receipts Cash Book" sheetId="3" r:id="rId4"/>
    <sheet name="Reserves" sheetId="48" r:id="rId5"/>
    <sheet name="Budget vs Actual  " sheetId="2" r:id="rId6"/>
    <sheet name="Asset Register" sheetId="54" r:id="rId7"/>
  </sheets>
  <externalReferences>
    <externalReference r:id="rId8"/>
  </externalReferences>
  <definedNames>
    <definedName name="_xlnm._FilterDatabase" localSheetId="3" hidden="1">'Payments Receipts Cash Book'!$A$17:$AN$81</definedName>
    <definedName name="_xlnm.Print_Area" localSheetId="6">'Asset Register'!$A$1:$J$59</definedName>
    <definedName name="_xlnm.Print_Area" localSheetId="1">'Bank Rec'!$A$1:$I$22</definedName>
    <definedName name="_xlnm.Print_Area" localSheetId="0">'Bank Rec '!$A$1:$E$26</definedName>
    <definedName name="_xlnm.Print_Area" localSheetId="5">'Budget vs Actual  '!$A$1:$D$70</definedName>
    <definedName name="_xlnm.Print_Area" localSheetId="3">'Payments Receipts Cash Book'!$A$1:$AN$80</definedName>
    <definedName name="_xlnm.Print_Area" localSheetId="4">Reserves!$A$1:$H$35</definedName>
    <definedName name="Z_D77C52FB_56C3_AF47_AD29_EE07F130855B_.wvu.Cols" localSheetId="5" hidden="1">'Budget vs Actual  '!$L:$L</definedName>
    <definedName name="Z_D77C52FB_56C3_AF47_AD29_EE07F130855B_.wvu.Cols" localSheetId="3" hidden="1">'Payments Receipts Cash Book'!#REF!,'Payments Receipts Cash Book'!#REF!,'Payments Receipts Cash Book'!#REF!,'Payments Receipts Cash Book'!#REF!</definedName>
    <definedName name="Z_D77C52FB_56C3_AF47_AD29_EE07F130855B_.wvu.FilterData" localSheetId="3" hidden="1">'Payments Receipts Cash Book'!$A$17:$Y$22</definedName>
    <definedName name="Z_D77C52FB_56C3_AF47_AD29_EE07F130855B_.wvu.PrintArea" localSheetId="1" hidden="1">'Bank Rec'!$A$1:$G$22</definedName>
    <definedName name="Z_D77C52FB_56C3_AF47_AD29_EE07F130855B_.wvu.PrintArea" localSheetId="5" hidden="1">'Budget vs Actual  '!$A$1:$T$54</definedName>
  </definedNames>
  <calcPr calcId="191029"/>
  <customWorkbookViews>
    <customWorkbookView name="Microsoft Office User - Personal View" guid="{D77C52FB-56C3-AF47-AD29-EE07F130855B}" mergeInterval="0" personalView="1" windowWidth="1280" windowHeight="45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0" i="2" l="1"/>
  <c r="O60" i="2"/>
  <c r="P42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" i="2"/>
  <c r="AP73" i="3"/>
  <c r="AP74" i="3"/>
  <c r="AP75" i="3"/>
  <c r="AP76" i="3"/>
  <c r="AP77" i="3"/>
  <c r="AP78" i="3"/>
  <c r="AP79" i="3"/>
  <c r="G24" i="56"/>
  <c r="G23" i="56"/>
  <c r="D10" i="56"/>
  <c r="F23" i="56" s="1"/>
  <c r="G19" i="57"/>
  <c r="H19" i="57"/>
  <c r="F19" i="57"/>
  <c r="H10" i="57"/>
  <c r="G10" i="57"/>
  <c r="F10" i="57"/>
  <c r="O42" i="2"/>
  <c r="O5" i="2"/>
  <c r="O6" i="2"/>
  <c r="O7" i="2"/>
  <c r="O8" i="2"/>
  <c r="O9" i="2"/>
  <c r="O10" i="2"/>
  <c r="O12" i="2"/>
  <c r="O13" i="2"/>
  <c r="O14" i="2"/>
  <c r="O16" i="2"/>
  <c r="O17" i="2"/>
  <c r="O18" i="2"/>
  <c r="O19" i="2"/>
  <c r="O20" i="2"/>
  <c r="O21" i="2"/>
  <c r="O24" i="2"/>
  <c r="O25" i="2"/>
  <c r="O26" i="2"/>
  <c r="O28" i="2"/>
  <c r="O29" i="2"/>
  <c r="O30" i="2"/>
  <c r="O35" i="2"/>
  <c r="O38" i="2"/>
  <c r="O39" i="2"/>
  <c r="O40" i="2"/>
  <c r="O41" i="2"/>
  <c r="O4" i="2"/>
  <c r="E57" i="54"/>
  <c r="I57" i="54"/>
  <c r="J57" i="54"/>
  <c r="G13" i="3"/>
  <c r="H13" i="3"/>
  <c r="I13" i="3"/>
  <c r="J13" i="3"/>
  <c r="F13" i="3"/>
  <c r="B61" i="2"/>
  <c r="AP34" i="3"/>
  <c r="AP35" i="3"/>
  <c r="AP3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55" i="3"/>
  <c r="AP56" i="3"/>
  <c r="AP57" i="3"/>
  <c r="AP58" i="3"/>
  <c r="AP59" i="3"/>
  <c r="AP60" i="3"/>
  <c r="AP61" i="3"/>
  <c r="AP62" i="3"/>
  <c r="AP63" i="3"/>
  <c r="AP64" i="3"/>
  <c r="AP65" i="3"/>
  <c r="AP66" i="3"/>
  <c r="AP67" i="3"/>
  <c r="AP68" i="3"/>
  <c r="AP69" i="3"/>
  <c r="AP70" i="3"/>
  <c r="AP71" i="3"/>
  <c r="AP72" i="3"/>
  <c r="AP27" i="3"/>
  <c r="AP28" i="3"/>
  <c r="AP29" i="3"/>
  <c r="AP30" i="3"/>
  <c r="AP31" i="3"/>
  <c r="AP32" i="3"/>
  <c r="AP33" i="3"/>
  <c r="AP19" i="3"/>
  <c r="AP20" i="3"/>
  <c r="AP21" i="3"/>
  <c r="AP22" i="3"/>
  <c r="AP23" i="3"/>
  <c r="AP24" i="3"/>
  <c r="AP25" i="3"/>
  <c r="AP26" i="3"/>
  <c r="AP18" i="3"/>
  <c r="K82" i="3"/>
  <c r="K80" i="3"/>
  <c r="C58" i="2" s="1"/>
  <c r="B27" i="2"/>
  <c r="B26" i="2"/>
  <c r="B19" i="2"/>
  <c r="B13" i="2"/>
  <c r="B7" i="2"/>
  <c r="B22" i="2"/>
  <c r="B6" i="2"/>
  <c r="C42" i="2"/>
  <c r="B38" i="2"/>
  <c r="D38" i="2" s="1"/>
  <c r="B37" i="2"/>
  <c r="D39" i="2"/>
  <c r="D40" i="2"/>
  <c r="D41" i="2"/>
  <c r="D44" i="2"/>
  <c r="D45" i="2"/>
  <c r="D46" i="2"/>
  <c r="D47" i="2"/>
  <c r="D48" i="2"/>
  <c r="D49" i="2"/>
  <c r="D50" i="2"/>
  <c r="D51" i="2"/>
  <c r="D52" i="2"/>
  <c r="D53" i="2"/>
  <c r="D37" i="2"/>
  <c r="B35" i="2"/>
  <c r="B28" i="2"/>
  <c r="D28" i="2" s="1"/>
  <c r="B24" i="2"/>
  <c r="B16" i="2"/>
  <c r="D16" i="2" s="1"/>
  <c r="B12" i="2"/>
  <c r="D12" i="2" s="1"/>
  <c r="B10" i="2"/>
  <c r="D10" i="2" s="1"/>
  <c r="I80" i="3"/>
  <c r="J80" i="3"/>
  <c r="L80" i="3"/>
  <c r="B4" i="2" s="1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B64" i="2"/>
  <c r="K31" i="3"/>
  <c r="AH31" i="3"/>
  <c r="B58" i="2" l="1"/>
  <c r="B42" i="2"/>
  <c r="K32" i="3"/>
  <c r="K33" i="3"/>
  <c r="K30" i="3"/>
  <c r="B34" i="2"/>
  <c r="B32" i="2"/>
  <c r="D32" i="2" s="1"/>
  <c r="B21" i="2"/>
  <c r="D21" i="2" s="1"/>
  <c r="B17" i="2"/>
  <c r="B40" i="48"/>
  <c r="H15" i="48"/>
  <c r="H27" i="48"/>
  <c r="B81" i="2"/>
  <c r="B80" i="2"/>
  <c r="B79" i="2"/>
  <c r="C23" i="2"/>
  <c r="C4" i="2"/>
  <c r="B63" i="2"/>
  <c r="C33" i="48"/>
  <c r="K27" i="3"/>
  <c r="K29" i="3"/>
  <c r="K28" i="3"/>
  <c r="E18" i="48"/>
  <c r="AD20" i="3"/>
  <c r="K20" i="3"/>
  <c r="AN26" i="3"/>
  <c r="AN80" i="3" s="1"/>
  <c r="K22" i="3"/>
  <c r="K23" i="3"/>
  <c r="K21" i="3"/>
  <c r="K19" i="3"/>
  <c r="D36" i="2"/>
  <c r="A36" i="2"/>
  <c r="A34" i="2"/>
  <c r="A32" i="2"/>
  <c r="D33" i="2"/>
  <c r="A31" i="2"/>
  <c r="A27" i="2"/>
  <c r="D26" i="2"/>
  <c r="A26" i="2"/>
  <c r="A25" i="2"/>
  <c r="D22" i="2"/>
  <c r="A22" i="2"/>
  <c r="A21" i="2"/>
  <c r="A41" i="2"/>
  <c r="A20" i="2"/>
  <c r="A19" i="2"/>
  <c r="A18" i="2"/>
  <c r="A17" i="2"/>
  <c r="A14" i="2"/>
  <c r="A29" i="2"/>
  <c r="D13" i="2"/>
  <c r="A11" i="2"/>
  <c r="D9" i="2"/>
  <c r="A9" i="2"/>
  <c r="A8" i="2"/>
  <c r="D7" i="2"/>
  <c r="A7" i="2"/>
  <c r="A5" i="2"/>
  <c r="A4" i="2"/>
  <c r="D42" i="2" l="1"/>
  <c r="P28" i="3"/>
  <c r="P29" i="3"/>
  <c r="AB21" i="3"/>
  <c r="Y19" i="3"/>
  <c r="AK23" i="3"/>
  <c r="AH30" i="3"/>
  <c r="W32" i="3"/>
  <c r="R33" i="3"/>
  <c r="M22" i="3"/>
  <c r="J23" i="3"/>
  <c r="D27" i="2"/>
  <c r="D4" i="2"/>
  <c r="D35" i="2"/>
  <c r="D14" i="2"/>
  <c r="J21" i="3"/>
  <c r="D17" i="2"/>
  <c r="D29" i="2"/>
  <c r="D34" i="2"/>
  <c r="D15" i="2"/>
  <c r="D24" i="2"/>
  <c r="D19" i="2"/>
  <c r="D6" i="2" l="1"/>
  <c r="B31" i="2"/>
  <c r="D31" i="2" s="1"/>
  <c r="B30" i="2"/>
  <c r="D30" i="2" s="1"/>
  <c r="B20" i="2"/>
  <c r="D20" i="2" s="1"/>
  <c r="B23" i="2"/>
  <c r="D23" i="2" s="1"/>
  <c r="B8" i="2"/>
  <c r="D8" i="2" s="1"/>
  <c r="K26" i="3"/>
  <c r="K25" i="3"/>
  <c r="I24" i="3"/>
  <c r="B18" i="2" l="1"/>
  <c r="D18" i="2" s="1"/>
  <c r="B11" i="2"/>
  <c r="D11" i="2" s="1"/>
  <c r="K24" i="3"/>
  <c r="M24" i="3" l="1"/>
  <c r="AO80" i="3" s="1"/>
  <c r="I69" i="2"/>
  <c r="I42" i="2"/>
  <c r="B5" i="2" l="1"/>
  <c r="D5" i="2" s="1"/>
  <c r="B33" i="48"/>
  <c r="F29" i="48"/>
  <c r="D29" i="48"/>
  <c r="B29" i="48"/>
  <c r="B68" i="2"/>
  <c r="E8" i="3"/>
  <c r="E7" i="3"/>
  <c r="E6" i="3"/>
  <c r="E5" i="3"/>
  <c r="I56" i="54"/>
  <c r="I54" i="54"/>
  <c r="I53" i="54"/>
  <c r="I52" i="54"/>
  <c r="I51" i="54"/>
  <c r="I50" i="54"/>
  <c r="I48" i="54"/>
  <c r="I47" i="54"/>
  <c r="I46" i="54"/>
  <c r="I45" i="54"/>
  <c r="I44" i="54"/>
  <c r="I43" i="54"/>
  <c r="I42" i="54"/>
  <c r="I41" i="54"/>
  <c r="I40" i="54"/>
  <c r="I39" i="54"/>
  <c r="I38" i="54"/>
  <c r="I37" i="54"/>
  <c r="I36" i="54"/>
  <c r="I35" i="54"/>
  <c r="I34" i="54"/>
  <c r="I33" i="54"/>
  <c r="I32" i="54"/>
  <c r="I31" i="54"/>
  <c r="I30" i="54"/>
  <c r="I29" i="54"/>
  <c r="I28" i="54"/>
  <c r="I27" i="54"/>
  <c r="I26" i="54"/>
  <c r="I25" i="54"/>
  <c r="I24" i="54"/>
  <c r="I23" i="54"/>
  <c r="I22" i="54"/>
  <c r="I21" i="54"/>
  <c r="I20" i="54"/>
  <c r="I19" i="54"/>
  <c r="I18" i="54"/>
  <c r="I17" i="54"/>
  <c r="I16" i="54"/>
  <c r="I15" i="54"/>
  <c r="I14" i="54"/>
  <c r="I13" i="54"/>
  <c r="I12" i="54"/>
  <c r="I11" i="54"/>
  <c r="I10" i="54"/>
  <c r="I9" i="54"/>
  <c r="I8" i="54"/>
  <c r="I7" i="54"/>
  <c r="I6" i="54"/>
  <c r="I5" i="54"/>
  <c r="H57" i="54"/>
  <c r="E13" i="3" l="1"/>
  <c r="C16" i="48"/>
  <c r="C28" i="48"/>
  <c r="B62" i="2"/>
  <c r="I16" i="48"/>
  <c r="B66" i="2"/>
  <c r="C10" i="48"/>
  <c r="D11" i="56" l="1"/>
  <c r="C29" i="48"/>
  <c r="H20" i="48"/>
  <c r="H17" i="48"/>
  <c r="H12" i="48"/>
  <c r="H23" i="48"/>
  <c r="H7" i="48"/>
  <c r="H6" i="48"/>
  <c r="H8" i="48"/>
  <c r="H9" i="48"/>
  <c r="H21" i="48"/>
  <c r="H26" i="48"/>
  <c r="H4" i="48"/>
  <c r="B30" i="48" l="1"/>
  <c r="E11" i="56"/>
  <c r="E20" i="56" s="1"/>
  <c r="C34" i="48"/>
  <c r="J56" i="54"/>
  <c r="J54" i="54"/>
  <c r="G57" i="54"/>
  <c r="H11" i="48"/>
  <c r="H13" i="48"/>
  <c r="C30" i="48" l="1"/>
  <c r="F35" i="48"/>
  <c r="D35" i="48"/>
  <c r="H25" i="48"/>
  <c r="E19" i="48"/>
  <c r="H19" i="48" s="1"/>
  <c r="E24" i="48"/>
  <c r="H24" i="48" s="1"/>
  <c r="J7" i="1"/>
  <c r="H28" i="48" l="1"/>
  <c r="H10" i="48"/>
  <c r="H5" i="48"/>
  <c r="E23" i="2" l="1"/>
  <c r="E22" i="2"/>
  <c r="E22" i="48"/>
  <c r="E33" i="2"/>
  <c r="E32" i="2"/>
  <c r="E66" i="2"/>
  <c r="E20" i="2"/>
  <c r="E8" i="2"/>
  <c r="H14" i="48" l="1"/>
  <c r="H22" i="48"/>
  <c r="C8" i="1"/>
  <c r="I5" i="1" s="1"/>
  <c r="D11" i="1" l="1"/>
  <c r="K5" i="1"/>
  <c r="E16" i="48" l="1"/>
  <c r="H16" i="48" s="1"/>
  <c r="D16" i="56"/>
  <c r="H18" i="48"/>
  <c r="E26" i="2"/>
  <c r="E4" i="1"/>
  <c r="I81" i="3" l="1"/>
  <c r="F24" i="56"/>
  <c r="B34" i="48"/>
  <c r="E6" i="56"/>
  <c r="E16" i="56"/>
  <c r="E34" i="48" s="1"/>
  <c r="E29" i="48"/>
  <c r="E30" i="48" s="1"/>
  <c r="E7" i="2"/>
  <c r="C14" i="1"/>
  <c r="E25" i="56" l="1"/>
  <c r="F25" i="56" s="1"/>
  <c r="H34" i="48"/>
  <c r="I34" i="48" s="1"/>
  <c r="I17" i="48"/>
  <c r="J16" i="48" s="1"/>
  <c r="H29" i="48"/>
  <c r="B35" i="48"/>
  <c r="J69" i="2"/>
  <c r="J42" i="2"/>
  <c r="J29" i="48" l="1"/>
  <c r="K29" i="48" s="1"/>
  <c r="H30" i="48"/>
  <c r="D7" i="1"/>
  <c r="E72" i="2"/>
  <c r="K81" i="3" l="1"/>
  <c r="E11" i="1"/>
  <c r="E35" i="48"/>
  <c r="E63" i="2"/>
  <c r="E65" i="2"/>
  <c r="E19" i="2"/>
  <c r="E31" i="2"/>
  <c r="E29" i="2"/>
  <c r="E21" i="2"/>
  <c r="E13" i="2"/>
  <c r="E9" i="2"/>
  <c r="H33" i="48" l="1"/>
  <c r="I33" i="48" s="1"/>
  <c r="C35" i="48"/>
  <c r="B73" i="2" l="1"/>
  <c r="M32" i="2"/>
  <c r="K32" i="2"/>
  <c r="K62" i="2"/>
  <c r="F66" i="2" l="1"/>
  <c r="D73" i="2" s="1"/>
  <c r="F5" i="2"/>
  <c r="F23" i="2"/>
  <c r="F8" i="2"/>
  <c r="F35" i="2"/>
  <c r="F32" i="2"/>
  <c r="F31" i="2"/>
  <c r="F29" i="2"/>
  <c r="F25" i="2"/>
  <c r="F18" i="2"/>
  <c r="F11" i="2"/>
  <c r="D65" i="2"/>
  <c r="D64" i="2"/>
  <c r="D63" i="2"/>
  <c r="E34" i="2" l="1"/>
  <c r="E61" i="2" l="1"/>
  <c r="D61" i="2"/>
  <c r="E24" i="2"/>
  <c r="E5" i="2"/>
  <c r="E35" i="2"/>
  <c r="F22" i="2"/>
  <c r="F7" i="2"/>
  <c r="D68" i="2" l="1"/>
  <c r="E62" i="2"/>
  <c r="E68" i="2"/>
  <c r="C73" i="2"/>
  <c r="D74" i="2" s="1"/>
  <c r="D66" i="2"/>
  <c r="D67" i="2"/>
  <c r="E67" i="2"/>
  <c r="E69" i="2" l="1"/>
  <c r="C74" i="2"/>
  <c r="D62" i="2" l="1"/>
  <c r="G7" i="1"/>
  <c r="B69" i="2" l="1"/>
  <c r="B78" i="2" s="1"/>
  <c r="B70" i="2" l="1"/>
  <c r="D69" i="2"/>
  <c r="C69" i="2" l="1"/>
  <c r="M69" i="2" l="1"/>
  <c r="L4" i="2"/>
  <c r="L42" i="2" s="1"/>
  <c r="E41" i="2" l="1"/>
  <c r="E14" i="1" l="1"/>
  <c r="E18" i="1" s="1"/>
  <c r="H35" i="48"/>
  <c r="I4" i="1" l="1"/>
  <c r="I29" i="48" l="1"/>
  <c r="K4" i="1"/>
  <c r="I7" i="1"/>
  <c r="K7" i="1" s="1"/>
  <c r="E19" i="1" l="1"/>
  <c r="L69" i="2"/>
  <c r="M42" i="2"/>
  <c r="K60" i="2" l="1"/>
  <c r="K42" i="2" l="1"/>
  <c r="K69" i="2" l="1"/>
  <c r="F42" i="2" l="1"/>
  <c r="F69" i="2" l="1"/>
  <c r="F71" i="2" s="1"/>
  <c r="K83" i="3" l="1"/>
  <c r="B25" i="2"/>
  <c r="D25" i="2" l="1"/>
  <c r="E25" i="2"/>
  <c r="E42" i="2" s="1"/>
  <c r="E58" i="2" s="1"/>
</calcChain>
</file>

<file path=xl/sharedStrings.xml><?xml version="1.0" encoding="utf-8"?>
<sst xmlns="http://schemas.openxmlformats.org/spreadsheetml/2006/main" count="645" uniqueCount="409">
  <si>
    <t>Insurance</t>
  </si>
  <si>
    <t>Audit</t>
  </si>
  <si>
    <t>Buxhall Broadcast</t>
  </si>
  <si>
    <t>Precept</t>
  </si>
  <si>
    <t>RECIEPTS</t>
  </si>
  <si>
    <t>Power</t>
  </si>
  <si>
    <t>Misc</t>
  </si>
  <si>
    <t xml:space="preserve"> </t>
  </si>
  <si>
    <t>Interest</t>
  </si>
  <si>
    <t>£</t>
  </si>
  <si>
    <t>Payments</t>
  </si>
  <si>
    <t>Miscellaneous</t>
  </si>
  <si>
    <t>Receipts</t>
  </si>
  <si>
    <t>Minute Ref</t>
  </si>
  <si>
    <t>Gross</t>
  </si>
  <si>
    <t>VAT</t>
  </si>
  <si>
    <t>Net</t>
  </si>
  <si>
    <t>Total Receipt</t>
  </si>
  <si>
    <t xml:space="preserve">  </t>
  </si>
  <si>
    <t>Total Payments</t>
  </si>
  <si>
    <t>Total Receipts</t>
  </si>
  <si>
    <t>Notes</t>
  </si>
  <si>
    <t>Asset replacement</t>
  </si>
  <si>
    <t>Invoice No</t>
  </si>
  <si>
    <t>Trsf</t>
  </si>
  <si>
    <t>Subscriptions</t>
  </si>
  <si>
    <t>Opening balance</t>
  </si>
  <si>
    <t xml:space="preserve">Payments </t>
  </si>
  <si>
    <t>Balance</t>
  </si>
  <si>
    <t>Transfers</t>
  </si>
  <si>
    <t>Macbook</t>
  </si>
  <si>
    <t>Floodlight remote control</t>
  </si>
  <si>
    <t>Defibrillator pads gifted village hall</t>
  </si>
  <si>
    <t xml:space="preserve">SID - grant receipt from MSDC </t>
  </si>
  <si>
    <t xml:space="preserve">Goal Posts </t>
  </si>
  <si>
    <t xml:space="preserve">VAS Bank fee </t>
  </si>
  <si>
    <t>VAS Postage - insurance claim in receipts</t>
  </si>
  <si>
    <t>VAS Repair.- insurance claim in receipts</t>
  </si>
  <si>
    <t>Reason for Overspend in payments</t>
  </si>
  <si>
    <t>Paid for two years; last year and this year. One was funded by reserves</t>
  </si>
  <si>
    <t>Donation</t>
  </si>
  <si>
    <t>Actual 2020/21</t>
  </si>
  <si>
    <t>Invoice date</t>
  </si>
  <si>
    <t>Payment File Ref</t>
  </si>
  <si>
    <t>Stationery</t>
  </si>
  <si>
    <t>2021/22</t>
  </si>
  <si>
    <t>Actual 2021/22</t>
  </si>
  <si>
    <t>Total</t>
  </si>
  <si>
    <t>CIL</t>
  </si>
  <si>
    <t>Payee</t>
  </si>
  <si>
    <t>From</t>
  </si>
  <si>
    <t>Virements</t>
  </si>
  <si>
    <t>Virement</t>
  </si>
  <si>
    <t>Represented by:</t>
  </si>
  <si>
    <t>Community</t>
  </si>
  <si>
    <t>2022/23</t>
  </si>
  <si>
    <t>Actual 2022/23</t>
  </si>
  <si>
    <t>Date</t>
  </si>
  <si>
    <t>Reciept file ref</t>
  </si>
  <si>
    <t>PAYMENTS</t>
  </si>
  <si>
    <t>Clearance Date</t>
  </si>
  <si>
    <t>VAT  No</t>
  </si>
  <si>
    <t>Closing Balance</t>
  </si>
  <si>
    <t>Draft Budget 2022/23</t>
  </si>
  <si>
    <t>Draft Budget 2023/24</t>
  </si>
  <si>
    <t xml:space="preserve">Add 11% to last year  </t>
  </si>
  <si>
    <t>Current plus 11%</t>
  </si>
  <si>
    <t>Cannot budget</t>
  </si>
  <si>
    <t>Increase £</t>
  </si>
  <si>
    <t>Bins</t>
  </si>
  <si>
    <t>BVN</t>
  </si>
  <si>
    <t xml:space="preserve">Data Protection </t>
  </si>
  <si>
    <t>Defib</t>
  </si>
  <si>
    <t>Geese</t>
  </si>
  <si>
    <t>Green Maintenance</t>
  </si>
  <si>
    <t>Litter Pick</t>
  </si>
  <si>
    <t>Mileage</t>
  </si>
  <si>
    <t>Office</t>
  </si>
  <si>
    <t>Play Inspection</t>
  </si>
  <si>
    <t>Salary</t>
  </si>
  <si>
    <t>Play Equip Maint</t>
  </si>
  <si>
    <t xml:space="preserve">CIL  </t>
  </si>
  <si>
    <t xml:space="preserve">Grants </t>
  </si>
  <si>
    <t xml:space="preserve">VAT  </t>
  </si>
  <si>
    <t>Neighbourhood Plan</t>
  </si>
  <si>
    <t>4 issues</t>
  </si>
  <si>
    <t xml:space="preserve">current plus extenal auditor </t>
  </si>
  <si>
    <t>Build up reserves</t>
  </si>
  <si>
    <t>Quarter of £1k as expected cost 4 yrly</t>
  </si>
  <si>
    <t>Based on current year (in which fuel increased)</t>
  </si>
  <si>
    <t xml:space="preserve">Two picks at £100 </t>
  </si>
  <si>
    <t>Six visits per year (not inc Council meetings)</t>
  </si>
  <si>
    <t xml:space="preserve">£6 week </t>
  </si>
  <si>
    <t>Minor repairs</t>
  </si>
  <si>
    <t>Current plus increase of 4%</t>
  </si>
  <si>
    <t>Stationery Clerk</t>
  </si>
  <si>
    <t>Ink and paper</t>
  </si>
  <si>
    <t>SALC this year plus 11%</t>
  </si>
  <si>
    <t>New speed gun (2013 current model)</t>
  </si>
  <si>
    <t>2023/24</t>
  </si>
  <si>
    <t>Tax base (number of houses by which Council tax is calculated) *</t>
  </si>
  <si>
    <t>* There are more houses paying Council tax than last year.</t>
  </si>
  <si>
    <t>Can only budget for the income you KNOW you will receive.</t>
  </si>
  <si>
    <t>10 at £25</t>
  </si>
  <si>
    <t>Ink paper stamps files etc</t>
  </si>
  <si>
    <t>New Cllr x 4 courses</t>
  </si>
  <si>
    <t>current plus 12%</t>
  </si>
  <si>
    <t>Precept per house calcuation</t>
  </si>
  <si>
    <t xml:space="preserve">Average band D Council Tax Bill for Parish Council </t>
  </si>
  <si>
    <t>Predicted Year End</t>
  </si>
  <si>
    <t>Estimate of cost - with Avian Flu more time inside</t>
  </si>
  <si>
    <t>Insurance assistance to Church</t>
  </si>
  <si>
    <t>Annual play inspection cost</t>
  </si>
  <si>
    <t>Variance</t>
  </si>
  <si>
    <t>Actual 2023/24</t>
  </si>
  <si>
    <t>Receipts in year</t>
  </si>
  <si>
    <t>Payments in year</t>
  </si>
  <si>
    <t xml:space="preserve">Cash Book   </t>
  </si>
  <si>
    <t>Beyton Parish Council Bank Reconciliation Year Ended 31 03 2024</t>
  </si>
  <si>
    <t xml:space="preserve">Asset Replacement Reserve </t>
  </si>
  <si>
    <t xml:space="preserve">CIL </t>
  </si>
  <si>
    <t xml:space="preserve">Community Speedwatch </t>
  </si>
  <si>
    <t xml:space="preserve">Coronation </t>
  </si>
  <si>
    <t xml:space="preserve">Defb </t>
  </si>
  <si>
    <t xml:space="preserve">Election Reserve </t>
  </si>
  <si>
    <t xml:space="preserve">General Reserve </t>
  </si>
  <si>
    <t xml:space="preserve">Jubillee </t>
  </si>
  <si>
    <t xml:space="preserve">Office reimbursements </t>
  </si>
  <si>
    <t xml:space="preserve">Play equipment maintenance </t>
  </si>
  <si>
    <t xml:space="preserve">Pond project </t>
  </si>
  <si>
    <t xml:space="preserve">Staff Salary </t>
  </si>
  <si>
    <t xml:space="preserve">Stationery </t>
  </si>
  <si>
    <t xml:space="preserve">Village Green </t>
  </si>
  <si>
    <t>Community account</t>
  </si>
  <si>
    <t>S137</t>
  </si>
  <si>
    <t xml:space="preserve">Premium </t>
  </si>
  <si>
    <t>Email</t>
  </si>
  <si>
    <r>
      <t xml:space="preserve">Cash book Account balances b/f as at 01 04 2023: </t>
    </r>
    <r>
      <rPr>
        <b/>
        <sz val="12"/>
        <color theme="1"/>
        <rFont val="Calibri Light"/>
        <family val="2"/>
      </rPr>
      <t>Community</t>
    </r>
  </si>
  <si>
    <r>
      <t xml:space="preserve">b/f </t>
    </r>
    <r>
      <rPr>
        <b/>
        <sz val="12"/>
        <color theme="1"/>
        <rFont val="Calibri Light"/>
        <family val="2"/>
      </rPr>
      <t>Premium</t>
    </r>
  </si>
  <si>
    <r>
      <rPr>
        <b/>
        <sz val="12"/>
        <color theme="1"/>
        <rFont val="Calibri Light"/>
        <family val="2"/>
      </rPr>
      <t>Premium</t>
    </r>
    <r>
      <rPr>
        <sz val="12"/>
        <color theme="1"/>
        <rFont val="Calibri Light"/>
        <family val="2"/>
      </rPr>
      <t>:  Interest: 05 06 23</t>
    </r>
  </si>
  <si>
    <t>Grant</t>
  </si>
  <si>
    <t>bank s.ment</t>
  </si>
  <si>
    <t>S106 - Village Green</t>
  </si>
  <si>
    <t>Premium account</t>
  </si>
  <si>
    <t>BVA</t>
  </si>
  <si>
    <t>BEG</t>
  </si>
  <si>
    <t>The Green</t>
  </si>
  <si>
    <t>Less transfer from Community to Premium</t>
  </si>
  <si>
    <t>Village Celebration</t>
  </si>
  <si>
    <t>Interest 04 12 23</t>
  </si>
  <si>
    <t xml:space="preserve">BEYTON PARISH COUNCIL ASSET REGISTER </t>
  </si>
  <si>
    <t xml:space="preserve">Asset Number </t>
  </si>
  <si>
    <t xml:space="preserve">Description </t>
  </si>
  <si>
    <t>Locality/Custodian</t>
  </si>
  <si>
    <t>Date Acquired</t>
  </si>
  <si>
    <t>Acqusition Value</t>
  </si>
  <si>
    <t>Date of Disposal</t>
  </si>
  <si>
    <t>Disposal Value</t>
  </si>
  <si>
    <t>Additions in year</t>
  </si>
  <si>
    <t>Insurance value</t>
  </si>
  <si>
    <t>Village sign</t>
  </si>
  <si>
    <t>Pre 2011</t>
  </si>
  <si>
    <t>Green Glass Bus Shelter</t>
  </si>
  <si>
    <t>Off the green</t>
  </si>
  <si>
    <t>Notice Board</t>
  </si>
  <si>
    <t>Cangles Lane</t>
  </si>
  <si>
    <t>On the Green</t>
  </si>
  <si>
    <t xml:space="preserve">Metal Pump four sided bench </t>
  </si>
  <si>
    <t xml:space="preserve">On the Green </t>
  </si>
  <si>
    <t>Wooden Picnic Bench</t>
  </si>
  <si>
    <t xml:space="preserve">Wooden Memorial Bench Seat Austin </t>
  </si>
  <si>
    <t>Wooden bench seat</t>
  </si>
  <si>
    <t>On the Green  under tree</t>
  </si>
  <si>
    <t>Wooden &amp; metal Bench Seat</t>
  </si>
  <si>
    <t>On the Green between two trees</t>
  </si>
  <si>
    <t>Signage near play equipment</t>
  </si>
  <si>
    <t>On the Green nr play equipment</t>
  </si>
  <si>
    <t>Brick Bus Shelter</t>
  </si>
  <si>
    <t>Football Posts</t>
  </si>
  <si>
    <t>Football Nets</t>
  </si>
  <si>
    <t>Spring Hippo</t>
  </si>
  <si>
    <t>Roundabout</t>
  </si>
  <si>
    <t>Swings 1 bay x 2 flat seats</t>
  </si>
  <si>
    <t>Spining pole</t>
  </si>
  <si>
    <t>Climbing frame</t>
  </si>
  <si>
    <t xml:space="preserve">Multi play toddler activity </t>
  </si>
  <si>
    <t>Swings 1 bay x 2 seat toddler</t>
  </si>
  <si>
    <t>Slide</t>
  </si>
  <si>
    <t>Wooden activity trail</t>
  </si>
  <si>
    <t>SID &amp; Data Collection</t>
  </si>
  <si>
    <t>Community Speedwatch</t>
  </si>
  <si>
    <t>Speed Gun</t>
  </si>
  <si>
    <t xml:space="preserve">Defibrillator (inside telephone kiosk) </t>
  </si>
  <si>
    <t>Litter Bins</t>
  </si>
  <si>
    <t>Green near stream</t>
  </si>
  <si>
    <t>Green near BT kiosk</t>
  </si>
  <si>
    <t>Green nr Bus shelter</t>
  </si>
  <si>
    <t>Thurston Road before a14 flyove</t>
  </si>
  <si>
    <t>Dog Litter Bin 1</t>
  </si>
  <si>
    <t>Thurston Road 9AE</t>
  </si>
  <si>
    <t>Dog Litter Bin 2</t>
  </si>
  <si>
    <t>The Green junction 9AD: 9AF</t>
  </si>
  <si>
    <t>Dog Litter Bin 3</t>
  </si>
  <si>
    <t>The Green 9QG</t>
  </si>
  <si>
    <t>Dog Litter Bin 4</t>
  </si>
  <si>
    <t>Bury Road 9BF</t>
  </si>
  <si>
    <t>Dog Litter Bin 5</t>
  </si>
  <si>
    <t>Church Road 9AL</t>
  </si>
  <si>
    <t>Dog Litter Bin 6</t>
  </si>
  <si>
    <t>Quaker Lane 9AN</t>
  </si>
  <si>
    <t>Dog Litter Bin 7</t>
  </si>
  <si>
    <t>Junction of 9AN and 9AL</t>
  </si>
  <si>
    <t>Dog Litter Bin 8</t>
  </si>
  <si>
    <t>All Saints Church, Church Road</t>
  </si>
  <si>
    <t>Dog Litter Bin 9</t>
  </si>
  <si>
    <t>Drinkstone Road 9AH</t>
  </si>
  <si>
    <t>Dog Litter Bin 10</t>
  </si>
  <si>
    <t>Up from Quakers Lane 9AN</t>
  </si>
  <si>
    <t>Grit Bin</t>
  </si>
  <si>
    <t>The Green near bus shelter</t>
  </si>
  <si>
    <t xml:space="preserve">Grit Bin </t>
  </si>
  <si>
    <t xml:space="preserve">Bury Road 9BF </t>
  </si>
  <si>
    <t xml:space="preserve">Telephone Kiosk K6 (red one) </t>
  </si>
  <si>
    <t xml:space="preserve">The Green (houses defib) </t>
  </si>
  <si>
    <t xml:space="preserve">Quaker Lane (houses book library) </t>
  </si>
  <si>
    <t>Apple MacBook Air</t>
  </si>
  <si>
    <t>Clerk's office</t>
  </si>
  <si>
    <t xml:space="preserve">15 05 2021 </t>
  </si>
  <si>
    <t>Volley Ball net</t>
  </si>
  <si>
    <t>?</t>
  </si>
  <si>
    <t>17 05 2021</t>
  </si>
  <si>
    <t xml:space="preserve">Volley Ball net </t>
  </si>
  <si>
    <t xml:space="preserve">Bridge on Playing field </t>
  </si>
  <si>
    <t xml:space="preserve">The Green </t>
  </si>
  <si>
    <t xml:space="preserve">121021/33 </t>
  </si>
  <si>
    <t>The Village Green</t>
  </si>
  <si>
    <t>01 2024</t>
  </si>
  <si>
    <t>Hard Disk</t>
  </si>
  <si>
    <t>Clerks office</t>
  </si>
  <si>
    <t>10 2023</t>
  </si>
  <si>
    <t>New line - Bus Travel</t>
  </si>
  <si>
    <t>Interest 04 03 24</t>
  </si>
  <si>
    <t>Account balances as at 31 03 24</t>
  </si>
  <si>
    <t>of precept is general reserve</t>
  </si>
  <si>
    <t>NEW - BEG</t>
  </si>
  <si>
    <t>NEW - BVA</t>
  </si>
  <si>
    <t>Play area noticeboard</t>
  </si>
  <si>
    <t>BEG 051223/32</t>
  </si>
  <si>
    <t>Interest 04 09 23 101023/24</t>
  </si>
  <si>
    <t>Grass maintenance*</t>
  </si>
  <si>
    <t>Add Receipts in year: Community</t>
  </si>
  <si>
    <t>Transfer from Community</t>
  </si>
  <si>
    <r>
      <rPr>
        <b/>
        <sz val="12"/>
        <color theme="1"/>
        <rFont val="Calibri Light"/>
        <family val="2"/>
      </rPr>
      <t>Less payments in year</t>
    </r>
    <r>
      <rPr>
        <sz val="12"/>
        <color theme="1"/>
        <rFont val="Calibri Light"/>
        <family val="2"/>
      </rPr>
      <t>: Community</t>
    </r>
  </si>
  <si>
    <t>Premium Account</t>
  </si>
  <si>
    <t>Community Account</t>
  </si>
  <si>
    <t>Plus receipts:</t>
  </si>
  <si>
    <t>Less payments:</t>
  </si>
  <si>
    <t>Asset Value</t>
  </si>
  <si>
    <t>Opening balance as at 01 04 2024</t>
  </si>
  <si>
    <t>BEYTON PARISH COUNCIL Current Account Year Ended 31 03 2025</t>
  </si>
  <si>
    <t>Beyton Parish Council Bank Reconciliation Year Ended 31 03 2025</t>
  </si>
  <si>
    <t>Beyton Parish Council Reserves  Year Ended 31 03 2025</t>
  </si>
  <si>
    <t>Beyton Parish Council Current Account Expenses and Income against Budget 2024/5</t>
  </si>
  <si>
    <t>08 04 24</t>
  </si>
  <si>
    <t>15 04 24</t>
  </si>
  <si>
    <t>23 04 24</t>
  </si>
  <si>
    <t>02 04 24</t>
  </si>
  <si>
    <t>20 03 24</t>
  </si>
  <si>
    <t>people4places</t>
  </si>
  <si>
    <t xml:space="preserve">291 9963 46 </t>
  </si>
  <si>
    <t>090424/26</t>
  </si>
  <si>
    <t>MSDC</t>
  </si>
  <si>
    <t xml:space="preserve">J S Wright </t>
  </si>
  <si>
    <t>HMRC</t>
  </si>
  <si>
    <t>Actual 2024/25</t>
  </si>
  <si>
    <t>Budget 2024/25</t>
  </si>
  <si>
    <t>Tina Newell</t>
  </si>
  <si>
    <t>na</t>
  </si>
  <si>
    <t>27 03 24</t>
  </si>
  <si>
    <t>10 03 24</t>
  </si>
  <si>
    <t>Trevor Brown</t>
  </si>
  <si>
    <t>GH Bullard</t>
  </si>
  <si>
    <t>Trevor Brown - correction to invoice mis presented</t>
  </si>
  <si>
    <t>Business Services CAS</t>
  </si>
  <si>
    <t>18 06 24</t>
  </si>
  <si>
    <t>070524/19</t>
  </si>
  <si>
    <t>070524/21</t>
  </si>
  <si>
    <t>070524/20</t>
  </si>
  <si>
    <t>070524/18</t>
  </si>
  <si>
    <t>SALC</t>
  </si>
  <si>
    <t>Suffolk.cloud</t>
  </si>
  <si>
    <t>090424/24</t>
  </si>
  <si>
    <t>090424/25</t>
  </si>
  <si>
    <t>01 04 24</t>
  </si>
  <si>
    <t>31 03 24</t>
  </si>
  <si>
    <t>2024/043</t>
  </si>
  <si>
    <t>Website</t>
  </si>
  <si>
    <t>Add since presented</t>
  </si>
  <si>
    <t>070524/22</t>
  </si>
  <si>
    <t xml:space="preserve">070524/23 </t>
  </si>
  <si>
    <t xml:space="preserve">070524/26 </t>
  </si>
  <si>
    <t xml:space="preserve">070524/24 </t>
  </si>
  <si>
    <t>040624/19</t>
  </si>
  <si>
    <t xml:space="preserve">460 461171 </t>
  </si>
  <si>
    <t>Anglia Pumping c/o PCC</t>
  </si>
  <si>
    <t xml:space="preserve">90 5732 41 </t>
  </si>
  <si>
    <t>01 05 24</t>
  </si>
  <si>
    <t xml:space="preserve">070524/25 </t>
  </si>
  <si>
    <t>27 05 24</t>
  </si>
  <si>
    <t>T C Forestry &amp; Fencing</t>
  </si>
  <si>
    <t xml:space="preserve">Precision Marketing </t>
  </si>
  <si>
    <t>11 06 24</t>
  </si>
  <si>
    <t>13 03 24</t>
  </si>
  <si>
    <t xml:space="preserve"> SInce presented</t>
  </si>
  <si>
    <t>*S137 spend in this year is £10.81 per electrate with a predicted 597 = £6,453.57</t>
  </si>
  <si>
    <t>asset replacement</t>
  </si>
  <si>
    <t>misc</t>
  </si>
  <si>
    <t>s137</t>
  </si>
  <si>
    <t>Minute ref</t>
  </si>
  <si>
    <t>Flooding (020724/20)</t>
  </si>
  <si>
    <t>S137 (020724/20)</t>
  </si>
  <si>
    <t>020724/20: Asset replacement</t>
  </si>
  <si>
    <t>Flooding</t>
  </si>
  <si>
    <t>020724/24</t>
  </si>
  <si>
    <t>020724/25</t>
  </si>
  <si>
    <t>Graham Jones - in and out and finally out</t>
  </si>
  <si>
    <t>03 07 24</t>
  </si>
  <si>
    <t xml:space="preserve">ICO </t>
  </si>
  <si>
    <t>19 07 24</t>
  </si>
  <si>
    <t>020724/23</t>
  </si>
  <si>
    <t>020724/26</t>
  </si>
  <si>
    <t>020724/27</t>
  </si>
  <si>
    <t>020724/28</t>
  </si>
  <si>
    <t>020724/29</t>
  </si>
  <si>
    <t>Balance as per accounts 26 08 2024</t>
  </si>
  <si>
    <t>030924/29</t>
  </si>
  <si>
    <t>Anglia Wildfoul &amp; Poultry</t>
  </si>
  <si>
    <t>030924/30</t>
  </si>
  <si>
    <t>WISH Charity</t>
  </si>
  <si>
    <t>030924/24</t>
  </si>
  <si>
    <t>Elmswell Parish Council</t>
  </si>
  <si>
    <t>030924/23</t>
  </si>
  <si>
    <t>Tina Newell Wages</t>
  </si>
  <si>
    <t>020724/30</t>
  </si>
  <si>
    <t>Parochial Church - Vestrey</t>
  </si>
  <si>
    <t>16 09 24</t>
  </si>
  <si>
    <t>26 09 24</t>
  </si>
  <si>
    <t>Ansvar Insurance</t>
  </si>
  <si>
    <t>Insurance Refund</t>
  </si>
  <si>
    <t>Thurston College Room Hire</t>
  </si>
  <si>
    <t>041124/26</t>
  </si>
  <si>
    <t>Amazi Consulting</t>
  </si>
  <si>
    <t>041124/28</t>
  </si>
  <si>
    <t>Precision x2</t>
  </si>
  <si>
    <t>041124/29</t>
  </si>
  <si>
    <t>Graham Jones</t>
  </si>
  <si>
    <t>041124/30</t>
  </si>
  <si>
    <t>041124/31</t>
  </si>
  <si>
    <t>Claire Usher Wages</t>
  </si>
  <si>
    <t>Claire Usher</t>
  </si>
  <si>
    <t>041124/32</t>
  </si>
  <si>
    <t>041124/33</t>
  </si>
  <si>
    <t>041124/25</t>
  </si>
  <si>
    <t>041124/34</t>
  </si>
  <si>
    <t>Gadd Brothers</t>
  </si>
  <si>
    <t>041124/35</t>
  </si>
  <si>
    <t>A C Rollett</t>
  </si>
  <si>
    <t>Donations</t>
  </si>
  <si>
    <t>Bus Serv</t>
  </si>
  <si>
    <t>Hire of Vestry/rooms</t>
  </si>
  <si>
    <t>PKF Littlejohn LLP</t>
  </si>
  <si>
    <t>Gudgeons Prentice</t>
  </si>
  <si>
    <t>D J Davison &amp; Sons</t>
  </si>
  <si>
    <t>HMRC PAYE</t>
  </si>
  <si>
    <t>Chairman exp</t>
  </si>
  <si>
    <t>Tree Works</t>
  </si>
  <si>
    <t>181124/05</t>
  </si>
  <si>
    <t>041124/41</t>
  </si>
  <si>
    <t>Clerks Computer Acer</t>
  </si>
  <si>
    <t>02/2024</t>
  </si>
  <si>
    <t>09/2024</t>
  </si>
  <si>
    <t>BEYTON PARISH COUNCIL Schedule of Payments for January 2025</t>
  </si>
  <si>
    <t>Service</t>
  </si>
  <si>
    <t>Auditor</t>
  </si>
  <si>
    <t>Payments Made Since the Last Meeting</t>
  </si>
  <si>
    <t>Legal Work - The Green</t>
  </si>
  <si>
    <t>Ditch Clearance</t>
  </si>
  <si>
    <t>PAYE</t>
  </si>
  <si>
    <t>Clerks Wages</t>
  </si>
  <si>
    <t>Payments for January Meeting For Approval</t>
  </si>
  <si>
    <t>Grass Cutting</t>
  </si>
  <si>
    <t>T C Forestry</t>
  </si>
  <si>
    <t>Vestry Hire 2024</t>
  </si>
  <si>
    <t>Beyton PCC</t>
  </si>
  <si>
    <t>Beyton Village News</t>
  </si>
  <si>
    <t>Precision Marketing</t>
  </si>
  <si>
    <t>Hire of Haras Fencing</t>
  </si>
  <si>
    <t>Reimburse C Usher</t>
  </si>
  <si>
    <t>Play Inspections</t>
  </si>
  <si>
    <t>Dog Bin Emptying 2024</t>
  </si>
  <si>
    <t>Ground Clearance</t>
  </si>
  <si>
    <t>Bank balances as at 29/11/2024</t>
  </si>
  <si>
    <t>Due to 3 Payments not yet cleared</t>
  </si>
  <si>
    <t>Budget 2025/26 (2%)</t>
  </si>
  <si>
    <t>Budget 2025/26 (3%)</t>
  </si>
  <si>
    <t xml:space="preserve">Precept </t>
  </si>
  <si>
    <t>Increase 2%</t>
  </si>
  <si>
    <t>Increase 3%</t>
  </si>
  <si>
    <t>Available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</si>
</sst>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_);[Red]\(&quot;£&quot;#,##0.00\)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&quot;£&quot;#,##0.00"/>
    <numFmt numFmtId="168" formatCode="#,##0.00;\(#,##0.00\)"/>
  </numFmts>
  <fonts count="53">
    <font>
      <sz val="1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Arial"/>
      <family val="2"/>
    </font>
    <font>
      <sz val="12"/>
      <color theme="1"/>
      <name val="Calibri Light"/>
      <family val="2"/>
    </font>
    <font>
      <sz val="12"/>
      <color rgb="FFFF0000"/>
      <name val="Calibri Light"/>
      <family val="2"/>
    </font>
    <font>
      <b/>
      <u/>
      <sz val="12"/>
      <color theme="1"/>
      <name val="Calibri Light"/>
      <family val="2"/>
    </font>
    <font>
      <b/>
      <sz val="12"/>
      <color theme="1"/>
      <name val="Calibri Light"/>
      <family val="2"/>
    </font>
    <font>
      <sz val="12"/>
      <name val="Calibri Light"/>
      <family val="2"/>
    </font>
    <font>
      <b/>
      <sz val="12"/>
      <name val="Calibri Light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Calibri Light"/>
      <family val="2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name val="Calibri Light"/>
      <family val="2"/>
    </font>
    <font>
      <sz val="12"/>
      <color theme="1"/>
      <name val="Calibri (Body)"/>
    </font>
    <font>
      <sz val="10"/>
      <color rgb="FFFF0000"/>
      <name val="Calibri Light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name val="Calibri Light"/>
      <family val="2"/>
    </font>
    <font>
      <sz val="14"/>
      <name val="Calibri Light"/>
      <family val="2"/>
    </font>
    <font>
      <sz val="6"/>
      <name val="Calibri"/>
      <family val="2"/>
    </font>
    <font>
      <b/>
      <sz val="6"/>
      <name val="Calibri"/>
      <family val="2"/>
    </font>
    <font>
      <sz val="10"/>
      <color theme="1"/>
      <name val="Calibri Light"/>
      <family val="2"/>
    </font>
    <font>
      <b/>
      <sz val="12"/>
      <color theme="0"/>
      <name val="Calibri Light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1"/>
      <color theme="1"/>
      <name val="Calibri (Body)"/>
    </font>
    <font>
      <sz val="11"/>
      <color theme="1"/>
      <name val="Calibri"/>
      <family val="2"/>
    </font>
    <font>
      <sz val="12"/>
      <color theme="0"/>
      <name val="Calibri (Body)"/>
    </font>
    <font>
      <sz val="11"/>
      <name val="Calibri"/>
      <family val="2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1"/>
      <color rgb="FFFF0000"/>
      <name val="Calibri (Body)"/>
    </font>
    <font>
      <b/>
      <sz val="11"/>
      <name val="Calibri Light"/>
      <family val="2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FF0000"/>
      </right>
      <top/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9">
    <xf numFmtId="0" fontId="0" fillId="0" borderId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5" fillId="0" borderId="0"/>
  </cellStyleXfs>
  <cellXfs count="372">
    <xf numFmtId="0" fontId="0" fillId="0" borderId="0" xfId="0"/>
    <xf numFmtId="43" fontId="18" fillId="0" borderId="0" xfId="1" applyFont="1" applyAlignment="1">
      <alignment horizontal="center"/>
    </xf>
    <xf numFmtId="43" fontId="18" fillId="0" borderId="0" xfId="1" applyFont="1"/>
    <xf numFmtId="43" fontId="18" fillId="0" borderId="0" xfId="1" applyFont="1" applyAlignment="1">
      <alignment horizontal="left"/>
    </xf>
    <xf numFmtId="43" fontId="19" fillId="0" borderId="0" xfId="1" applyFont="1"/>
    <xf numFmtId="43" fontId="22" fillId="0" borderId="0" xfId="1" applyFont="1"/>
    <xf numFmtId="43" fontId="21" fillId="0" borderId="0" xfId="1" applyFont="1" applyFill="1" applyBorder="1"/>
    <xf numFmtId="43" fontId="18" fillId="0" borderId="0" xfId="1" applyFont="1" applyFill="1"/>
    <xf numFmtId="43" fontId="23" fillId="0" borderId="0" xfId="1" applyFont="1" applyFill="1" applyBorder="1"/>
    <xf numFmtId="43" fontId="22" fillId="0" borderId="0" xfId="1" applyFont="1" applyFill="1"/>
    <xf numFmtId="2" fontId="26" fillId="0" borderId="0" xfId="1" applyNumberFormat="1" applyFont="1"/>
    <xf numFmtId="43" fontId="23" fillId="0" borderId="0" xfId="1" applyFont="1"/>
    <xf numFmtId="2" fontId="18" fillId="0" borderId="0" xfId="1" applyNumberFormat="1" applyFont="1"/>
    <xf numFmtId="0" fontId="22" fillId="0" borderId="1" xfId="21" applyFont="1" applyBorder="1"/>
    <xf numFmtId="0" fontId="22" fillId="0" borderId="0" xfId="21" applyFont="1"/>
    <xf numFmtId="0" fontId="12" fillId="0" borderId="0" xfId="21"/>
    <xf numFmtId="165" fontId="22" fillId="0" borderId="0" xfId="21" applyNumberFormat="1" applyFont="1"/>
    <xf numFmtId="0" fontId="23" fillId="0" borderId="0" xfId="21" applyFont="1"/>
    <xf numFmtId="0" fontId="18" fillId="0" borderId="0" xfId="21" applyFont="1"/>
    <xf numFmtId="165" fontId="22" fillId="0" borderId="1" xfId="21" applyNumberFormat="1" applyFont="1" applyBorder="1"/>
    <xf numFmtId="0" fontId="27" fillId="0" borderId="1" xfId="0" applyFont="1" applyBorder="1"/>
    <xf numFmtId="0" fontId="27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left" wrapText="1"/>
    </xf>
    <xf numFmtId="0" fontId="27" fillId="0" borderId="0" xfId="0" applyFont="1"/>
    <xf numFmtId="0" fontId="27" fillId="0" borderId="11" xfId="0" applyFont="1" applyBorder="1"/>
    <xf numFmtId="165" fontId="27" fillId="0" borderId="12" xfId="1" applyNumberFormat="1" applyFont="1" applyBorder="1" applyAlignment="1">
      <alignment horizontal="right"/>
    </xf>
    <xf numFmtId="2" fontId="27" fillId="0" borderId="0" xfId="0" applyNumberFormat="1" applyFont="1"/>
    <xf numFmtId="43" fontId="27" fillId="0" borderId="0" xfId="1" applyFont="1"/>
    <xf numFmtId="0" fontId="27" fillId="2" borderId="10" xfId="0" applyFont="1" applyFill="1" applyBorder="1" applyAlignment="1">
      <alignment horizontal="left" vertical="top"/>
    </xf>
    <xf numFmtId="0" fontId="27" fillId="2" borderId="7" xfId="0" applyFont="1" applyFill="1" applyBorder="1" applyAlignment="1">
      <alignment horizontal="left" vertical="top"/>
    </xf>
    <xf numFmtId="165" fontId="27" fillId="0" borderId="0" xfId="1" applyNumberFormat="1" applyFont="1" applyBorder="1" applyAlignment="1">
      <alignment horizontal="right"/>
    </xf>
    <xf numFmtId="167" fontId="27" fillId="0" borderId="1" xfId="1" applyNumberFormat="1" applyFont="1" applyBorder="1" applyAlignment="1">
      <alignment horizontal="right" wrapText="1"/>
    </xf>
    <xf numFmtId="165" fontId="27" fillId="0" borderId="0" xfId="1" applyNumberFormat="1" applyFont="1" applyFill="1" applyBorder="1" applyAlignment="1">
      <alignment horizontal="right"/>
    </xf>
    <xf numFmtId="0" fontId="27" fillId="0" borderId="10" xfId="0" applyFont="1" applyBorder="1" applyAlignment="1">
      <alignment horizontal="left" wrapText="1"/>
    </xf>
    <xf numFmtId="0" fontId="27" fillId="0" borderId="10" xfId="0" applyFont="1" applyBorder="1"/>
    <xf numFmtId="0" fontId="27" fillId="0" borderId="9" xfId="0" applyFont="1" applyBorder="1"/>
    <xf numFmtId="165" fontId="28" fillId="0" borderId="1" xfId="1" applyNumberFormat="1" applyFont="1" applyBorder="1" applyAlignment="1">
      <alignment horizontal="right"/>
    </xf>
    <xf numFmtId="165" fontId="27" fillId="2" borderId="1" xfId="1" applyNumberFormat="1" applyFont="1" applyFill="1" applyBorder="1" applyAlignment="1">
      <alignment horizontal="right"/>
    </xf>
    <xf numFmtId="165" fontId="29" fillId="0" borderId="0" xfId="1" applyNumberFormat="1" applyFont="1" applyBorder="1" applyAlignment="1">
      <alignment horizontal="right"/>
    </xf>
    <xf numFmtId="165" fontId="28" fillId="0" borderId="0" xfId="1" applyNumberFormat="1" applyFont="1" applyBorder="1" applyAlignment="1">
      <alignment horizontal="right"/>
    </xf>
    <xf numFmtId="165" fontId="28" fillId="0" borderId="0" xfId="1" applyNumberFormat="1" applyFont="1" applyFill="1" applyBorder="1" applyAlignment="1">
      <alignment horizontal="right"/>
    </xf>
    <xf numFmtId="165" fontId="27" fillId="0" borderId="1" xfId="0" applyNumberFormat="1" applyFont="1" applyBorder="1" applyAlignment="1">
      <alignment horizontal="center" wrapText="1"/>
    </xf>
    <xf numFmtId="165" fontId="27" fillId="0" borderId="12" xfId="1" applyNumberFormat="1" applyFont="1" applyFill="1" applyBorder="1" applyAlignment="1">
      <alignment horizontal="right"/>
    </xf>
    <xf numFmtId="165" fontId="27" fillId="0" borderId="14" xfId="1" applyNumberFormat="1" applyFont="1" applyBorder="1" applyAlignment="1">
      <alignment horizontal="right"/>
    </xf>
    <xf numFmtId="165" fontId="27" fillId="0" borderId="1" xfId="1" applyNumberFormat="1" applyFont="1" applyFill="1" applyBorder="1" applyAlignment="1">
      <alignment horizontal="right"/>
    </xf>
    <xf numFmtId="165" fontId="27" fillId="6" borderId="12" xfId="0" applyNumberFormat="1" applyFont="1" applyFill="1" applyBorder="1"/>
    <xf numFmtId="0" fontId="27" fillId="6" borderId="1" xfId="0" applyFont="1" applyFill="1" applyBorder="1" applyAlignment="1">
      <alignment horizontal="center" wrapText="1"/>
    </xf>
    <xf numFmtId="165" fontId="27" fillId="0" borderId="12" xfId="0" applyNumberFormat="1" applyFont="1" applyBorder="1"/>
    <xf numFmtId="165" fontId="27" fillId="7" borderId="12" xfId="0" applyNumberFormat="1" applyFont="1" applyFill="1" applyBorder="1"/>
    <xf numFmtId="0" fontId="18" fillId="0" borderId="0" xfId="21" applyFont="1" applyAlignment="1">
      <alignment horizontal="center"/>
    </xf>
    <xf numFmtId="0" fontId="21" fillId="0" borderId="0" xfId="21" applyFont="1" applyAlignment="1">
      <alignment horizontal="center"/>
    </xf>
    <xf numFmtId="166" fontId="22" fillId="0" borderId="0" xfId="21" applyNumberFormat="1" applyFont="1"/>
    <xf numFmtId="167" fontId="22" fillId="0" borderId="0" xfId="21" applyNumberFormat="1" applyFont="1"/>
    <xf numFmtId="167" fontId="23" fillId="0" borderId="0" xfId="21" applyNumberFormat="1" applyFont="1" applyAlignment="1">
      <alignment horizontal="center"/>
    </xf>
    <xf numFmtId="0" fontId="26" fillId="0" borderId="0" xfId="21" applyFont="1"/>
    <xf numFmtId="165" fontId="27" fillId="5" borderId="12" xfId="0" applyNumberFormat="1" applyFont="1" applyFill="1" applyBorder="1"/>
    <xf numFmtId="165" fontId="27" fillId="0" borderId="0" xfId="0" applyNumberFormat="1" applyFont="1"/>
    <xf numFmtId="165" fontId="23" fillId="0" borderId="0" xfId="21" applyNumberFormat="1" applyFont="1" applyAlignment="1">
      <alignment horizontal="center"/>
    </xf>
    <xf numFmtId="0" fontId="27" fillId="5" borderId="1" xfId="0" applyFont="1" applyFill="1" applyBorder="1" applyAlignment="1">
      <alignment horizontal="center" wrapText="1"/>
    </xf>
    <xf numFmtId="0" fontId="27" fillId="7" borderId="1" xfId="0" applyFont="1" applyFill="1" applyBorder="1" applyAlignment="1">
      <alignment horizontal="center" wrapText="1"/>
    </xf>
    <xf numFmtId="165" fontId="27" fillId="6" borderId="1" xfId="0" applyNumberFormat="1" applyFont="1" applyFill="1" applyBorder="1" applyAlignment="1">
      <alignment horizontal="center" wrapText="1"/>
    </xf>
    <xf numFmtId="165" fontId="21" fillId="0" borderId="0" xfId="8" applyNumberFormat="1" applyFont="1" applyFill="1" applyBorder="1"/>
    <xf numFmtId="0" fontId="18" fillId="0" borderId="0" xfId="0" applyFont="1"/>
    <xf numFmtId="0" fontId="21" fillId="2" borderId="1" xfId="0" applyFont="1" applyFill="1" applyBorder="1"/>
    <xf numFmtId="0" fontId="21" fillId="0" borderId="0" xfId="0" applyFont="1"/>
    <xf numFmtId="165" fontId="18" fillId="0" borderId="0" xfId="0" applyNumberFormat="1" applyFont="1"/>
    <xf numFmtId="0" fontId="18" fillId="0" borderId="0" xfId="0" applyFont="1" applyAlignment="1">
      <alignment horizontal="left"/>
    </xf>
    <xf numFmtId="0" fontId="19" fillId="0" borderId="0" xfId="0" applyFont="1"/>
    <xf numFmtId="0" fontId="18" fillId="4" borderId="8" xfId="0" applyFont="1" applyFill="1" applyBorder="1"/>
    <xf numFmtId="165" fontId="18" fillId="4" borderId="0" xfId="1" applyNumberFormat="1" applyFont="1" applyFill="1" applyBorder="1" applyAlignment="1">
      <alignment horizontal="left"/>
    </xf>
    <xf numFmtId="0" fontId="18" fillId="4" borderId="0" xfId="0" applyFont="1" applyFill="1"/>
    <xf numFmtId="43" fontId="18" fillId="4" borderId="8" xfId="1" applyFont="1" applyFill="1" applyBorder="1"/>
    <xf numFmtId="165" fontId="19" fillId="0" borderId="0" xfId="0" applyNumberFormat="1" applyFont="1"/>
    <xf numFmtId="165" fontId="18" fillId="4" borderId="0" xfId="0" applyNumberFormat="1" applyFont="1" applyFill="1" applyAlignment="1">
      <alignment horizontal="left"/>
    </xf>
    <xf numFmtId="165" fontId="18" fillId="4" borderId="0" xfId="1" applyNumberFormat="1" applyFont="1" applyFill="1" applyBorder="1"/>
    <xf numFmtId="43" fontId="18" fillId="0" borderId="0" xfId="1" applyFont="1" applyFill="1" applyBorder="1"/>
    <xf numFmtId="166" fontId="19" fillId="0" borderId="0" xfId="0" applyNumberFormat="1" applyFont="1"/>
    <xf numFmtId="167" fontId="18" fillId="0" borderId="0" xfId="0" applyNumberFormat="1" applyFont="1"/>
    <xf numFmtId="167" fontId="18" fillId="0" borderId="0" xfId="0" applyNumberFormat="1" applyFont="1" applyAlignment="1">
      <alignment horizontal="right"/>
    </xf>
    <xf numFmtId="43" fontId="18" fillId="4" borderId="0" xfId="1" applyFont="1" applyFill="1" applyBorder="1"/>
    <xf numFmtId="0" fontId="21" fillId="4" borderId="10" xfId="0" applyFont="1" applyFill="1" applyBorder="1"/>
    <xf numFmtId="0" fontId="20" fillId="4" borderId="3" xfId="0" applyFont="1" applyFill="1" applyBorder="1"/>
    <xf numFmtId="0" fontId="21" fillId="3" borderId="1" xfId="0" applyFont="1" applyFill="1" applyBorder="1" applyAlignment="1">
      <alignment horizontal="center"/>
    </xf>
    <xf numFmtId="165" fontId="18" fillId="3" borderId="4" xfId="0" applyNumberFormat="1" applyFont="1" applyFill="1" applyBorder="1" applyAlignment="1">
      <alignment horizontal="center"/>
    </xf>
    <xf numFmtId="165" fontId="18" fillId="3" borderId="4" xfId="1" applyNumberFormat="1" applyFont="1" applyFill="1" applyBorder="1" applyAlignment="1">
      <alignment horizontal="center"/>
    </xf>
    <xf numFmtId="43" fontId="21" fillId="4" borderId="10" xfId="1" applyFont="1" applyFill="1" applyBorder="1"/>
    <xf numFmtId="0" fontId="18" fillId="4" borderId="3" xfId="0" applyFont="1" applyFill="1" applyBorder="1"/>
    <xf numFmtId="0" fontId="18" fillId="4" borderId="6" xfId="0" applyFont="1" applyFill="1" applyBorder="1"/>
    <xf numFmtId="0" fontId="15" fillId="0" borderId="0" xfId="21" applyFont="1"/>
    <xf numFmtId="43" fontId="21" fillId="4" borderId="8" xfId="1" applyFont="1" applyFill="1" applyBorder="1"/>
    <xf numFmtId="0" fontId="21" fillId="4" borderId="8" xfId="0" applyFont="1" applyFill="1" applyBorder="1"/>
    <xf numFmtId="0" fontId="18" fillId="4" borderId="11" xfId="0" applyFont="1" applyFill="1" applyBorder="1"/>
    <xf numFmtId="165" fontId="18" fillId="4" borderId="11" xfId="0" applyNumberFormat="1" applyFont="1" applyFill="1" applyBorder="1"/>
    <xf numFmtId="165" fontId="18" fillId="4" borderId="5" xfId="0" applyNumberFormat="1" applyFont="1" applyFill="1" applyBorder="1"/>
    <xf numFmtId="0" fontId="34" fillId="0" borderId="0" xfId="0" applyFont="1"/>
    <xf numFmtId="0" fontId="35" fillId="0" borderId="0" xfId="21" applyFont="1" applyAlignment="1">
      <alignment horizontal="left"/>
    </xf>
    <xf numFmtId="0" fontId="12" fillId="0" borderId="0" xfId="21" applyAlignment="1">
      <alignment horizontal="left"/>
    </xf>
    <xf numFmtId="0" fontId="23" fillId="0" borderId="0" xfId="21" applyFont="1" applyAlignment="1">
      <alignment horizontal="left"/>
    </xf>
    <xf numFmtId="0" fontId="36" fillId="0" borderId="0" xfId="21" applyFont="1" applyAlignment="1">
      <alignment horizontal="left"/>
    </xf>
    <xf numFmtId="0" fontId="23" fillId="2" borderId="1" xfId="21" applyFont="1" applyFill="1" applyBorder="1" applyAlignment="1">
      <alignment horizontal="left" wrapText="1"/>
    </xf>
    <xf numFmtId="0" fontId="23" fillId="2" borderId="1" xfId="21" applyFont="1" applyFill="1" applyBorder="1"/>
    <xf numFmtId="0" fontId="23" fillId="2" borderId="1" xfId="21" applyFont="1" applyFill="1" applyBorder="1" applyAlignment="1">
      <alignment horizontal="left"/>
    </xf>
    <xf numFmtId="0" fontId="23" fillId="2" borderId="1" xfId="21" applyFont="1" applyFill="1" applyBorder="1" applyAlignment="1">
      <alignment horizontal="center" wrapText="1"/>
    </xf>
    <xf numFmtId="0" fontId="23" fillId="2" borderId="1" xfId="21" applyFont="1" applyFill="1" applyBorder="1" applyAlignment="1">
      <alignment wrapText="1"/>
    </xf>
    <xf numFmtId="0" fontId="22" fillId="0" borderId="1" xfId="21" applyFont="1" applyBorder="1" applyAlignment="1">
      <alignment horizontal="left"/>
    </xf>
    <xf numFmtId="0" fontId="30" fillId="0" borderId="1" xfId="21" applyFont="1" applyBorder="1" applyAlignment="1">
      <alignment horizontal="left"/>
    </xf>
    <xf numFmtId="165" fontId="30" fillId="0" borderId="1" xfId="21" applyNumberFormat="1" applyFont="1" applyBorder="1"/>
    <xf numFmtId="0" fontId="30" fillId="0" borderId="0" xfId="21" applyFont="1"/>
    <xf numFmtId="17" fontId="30" fillId="0" borderId="1" xfId="21" applyNumberFormat="1" applyFont="1" applyBorder="1" applyAlignment="1">
      <alignment horizontal="left"/>
    </xf>
    <xf numFmtId="165" fontId="32" fillId="0" borderId="1" xfId="21" applyNumberFormat="1" applyFont="1" applyBorder="1"/>
    <xf numFmtId="0" fontId="22" fillId="0" borderId="0" xfId="21" applyFont="1" applyAlignment="1">
      <alignment horizontal="left"/>
    </xf>
    <xf numFmtId="0" fontId="30" fillId="0" borderId="0" xfId="21" applyFont="1" applyAlignment="1">
      <alignment horizontal="left"/>
    </xf>
    <xf numFmtId="165" fontId="30" fillId="0" borderId="15" xfId="21" applyNumberFormat="1" applyFont="1" applyBorder="1"/>
    <xf numFmtId="0" fontId="15" fillId="0" borderId="0" xfId="21" applyFont="1" applyAlignment="1">
      <alignment horizontal="left"/>
    </xf>
    <xf numFmtId="0" fontId="16" fillId="0" borderId="0" xfId="21" applyFont="1"/>
    <xf numFmtId="0" fontId="37" fillId="0" borderId="0" xfId="21" applyFont="1" applyAlignment="1">
      <alignment horizontal="left"/>
    </xf>
    <xf numFmtId="0" fontId="37" fillId="0" borderId="0" xfId="21" applyFont="1"/>
    <xf numFmtId="164" fontId="38" fillId="0" borderId="0" xfId="21" applyNumberFormat="1" applyFont="1"/>
    <xf numFmtId="164" fontId="37" fillId="0" borderId="0" xfId="21" applyNumberFormat="1" applyFont="1"/>
    <xf numFmtId="165" fontId="12" fillId="0" borderId="0" xfId="21" applyNumberFormat="1"/>
    <xf numFmtId="0" fontId="19" fillId="0" borderId="1" xfId="21" applyFont="1" applyBorder="1" applyAlignment="1">
      <alignment horizontal="left"/>
    </xf>
    <xf numFmtId="0" fontId="19" fillId="0" borderId="1" xfId="21" applyFont="1" applyBorder="1"/>
    <xf numFmtId="0" fontId="32" fillId="0" borderId="1" xfId="21" applyFont="1" applyBorder="1" applyAlignment="1">
      <alignment horizontal="left"/>
    </xf>
    <xf numFmtId="0" fontId="32" fillId="0" borderId="0" xfId="21" applyFont="1"/>
    <xf numFmtId="0" fontId="19" fillId="0" borderId="0" xfId="21" applyFont="1"/>
    <xf numFmtId="165" fontId="19" fillId="0" borderId="1" xfId="21" applyNumberFormat="1" applyFont="1" applyBorder="1"/>
    <xf numFmtId="165" fontId="39" fillId="0" borderId="1" xfId="21" applyNumberFormat="1" applyFont="1" applyBorder="1"/>
    <xf numFmtId="167" fontId="18" fillId="0" borderId="0" xfId="21" applyNumberFormat="1" applyFont="1"/>
    <xf numFmtId="165" fontId="18" fillId="0" borderId="0" xfId="0" applyNumberFormat="1" applyFont="1" applyAlignment="1">
      <alignment horizontal="left"/>
    </xf>
    <xf numFmtId="0" fontId="19" fillId="4" borderId="8" xfId="0" applyFont="1" applyFill="1" applyBorder="1"/>
    <xf numFmtId="0" fontId="19" fillId="4" borderId="0" xfId="0" applyFont="1" applyFill="1"/>
    <xf numFmtId="165" fontId="19" fillId="4" borderId="0" xfId="1" applyNumberFormat="1" applyFont="1" applyFill="1" applyBorder="1" applyAlignment="1">
      <alignment horizontal="left"/>
    </xf>
    <xf numFmtId="0" fontId="11" fillId="0" borderId="0" xfId="0" applyFont="1"/>
    <xf numFmtId="9" fontId="21" fillId="0" borderId="0" xfId="8" applyFont="1" applyFill="1" applyBorder="1"/>
    <xf numFmtId="43" fontId="40" fillId="0" borderId="0" xfId="1" applyFont="1" applyFill="1" applyBorder="1"/>
    <xf numFmtId="165" fontId="18" fillId="4" borderId="4" xfId="0" applyNumberFormat="1" applyFont="1" applyFill="1" applyBorder="1"/>
    <xf numFmtId="165" fontId="18" fillId="3" borderId="21" xfId="1" applyNumberFormat="1" applyFont="1" applyFill="1" applyBorder="1" applyAlignment="1">
      <alignment horizontal="left"/>
    </xf>
    <xf numFmtId="43" fontId="21" fillId="4" borderId="3" xfId="1" applyFont="1" applyFill="1" applyBorder="1"/>
    <xf numFmtId="165" fontId="18" fillId="4" borderId="12" xfId="0" applyNumberFormat="1" applyFont="1" applyFill="1" applyBorder="1"/>
    <xf numFmtId="0" fontId="10" fillId="0" borderId="0" xfId="0" applyFont="1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43" fontId="10" fillId="0" borderId="0" xfId="1" applyFont="1" applyAlignment="1">
      <alignment horizontal="right"/>
    </xf>
    <xf numFmtId="43" fontId="10" fillId="0" borderId="22" xfId="1" applyFont="1" applyBorder="1" applyAlignment="1">
      <alignment horizontal="right"/>
    </xf>
    <xf numFmtId="0" fontId="28" fillId="0" borderId="0" xfId="0" applyFont="1"/>
    <xf numFmtId="168" fontId="10" fillId="0" borderId="0" xfId="1" applyNumberFormat="1" applyFont="1" applyAlignment="1">
      <alignment horizontal="right"/>
    </xf>
    <xf numFmtId="0" fontId="27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1" fillId="0" borderId="1" xfId="0" applyFont="1" applyBorder="1"/>
    <xf numFmtId="0" fontId="41" fillId="6" borderId="10" xfId="0" applyFont="1" applyFill="1" applyBorder="1"/>
    <xf numFmtId="0" fontId="41" fillId="6" borderId="3" xfId="0" applyFont="1" applyFill="1" applyBorder="1"/>
    <xf numFmtId="0" fontId="41" fillId="6" borderId="16" xfId="0" applyFont="1" applyFill="1" applyBorder="1"/>
    <xf numFmtId="0" fontId="41" fillId="0" borderId="3" xfId="0" applyFont="1" applyBorder="1"/>
    <xf numFmtId="0" fontId="41" fillId="0" borderId="6" xfId="0" applyFont="1" applyBorder="1"/>
    <xf numFmtId="0" fontId="41" fillId="0" borderId="0" xfId="0" applyFont="1"/>
    <xf numFmtId="0" fontId="42" fillId="0" borderId="0" xfId="0" applyFont="1"/>
    <xf numFmtId="0" fontId="42" fillId="0" borderId="0" xfId="0" applyFont="1" applyAlignment="1">
      <alignment horizontal="center"/>
    </xf>
    <xf numFmtId="167" fontId="10" fillId="0" borderId="0" xfId="0" applyNumberFormat="1" applyFont="1"/>
    <xf numFmtId="0" fontId="10" fillId="0" borderId="1" xfId="0" applyFont="1" applyBorder="1"/>
    <xf numFmtId="165" fontId="10" fillId="7" borderId="1" xfId="0" applyNumberFormat="1" applyFont="1" applyFill="1" applyBorder="1"/>
    <xf numFmtId="165" fontId="10" fillId="0" borderId="1" xfId="0" applyNumberFormat="1" applyFont="1" applyBorder="1"/>
    <xf numFmtId="165" fontId="10" fillId="5" borderId="1" xfId="0" applyNumberFormat="1" applyFont="1" applyFill="1" applyBorder="1"/>
    <xf numFmtId="165" fontId="10" fillId="0" borderId="1" xfId="1" applyNumberFormat="1" applyFont="1" applyFill="1" applyBorder="1" applyAlignment="1">
      <alignment horizontal="right"/>
    </xf>
    <xf numFmtId="165" fontId="10" fillId="0" borderId="1" xfId="1" applyNumberFormat="1" applyFont="1" applyBorder="1" applyAlignment="1">
      <alignment horizontal="right" wrapText="1"/>
    </xf>
    <xf numFmtId="9" fontId="10" fillId="0" borderId="0" xfId="8" applyFont="1"/>
    <xf numFmtId="43" fontId="10" fillId="0" borderId="0" xfId="1" applyFont="1"/>
    <xf numFmtId="43" fontId="10" fillId="0" borderId="0" xfId="1" applyFont="1" applyAlignment="1">
      <alignment horizontal="left"/>
    </xf>
    <xf numFmtId="2" fontId="10" fillId="0" borderId="0" xfId="0" applyNumberFormat="1" applyFont="1"/>
    <xf numFmtId="165" fontId="10" fillId="0" borderId="1" xfId="1" applyNumberFormat="1" applyFont="1" applyFill="1" applyBorder="1" applyAlignment="1">
      <alignment horizontal="right" wrapText="1"/>
    </xf>
    <xf numFmtId="43" fontId="10" fillId="0" borderId="0" xfId="1" applyFont="1" applyFill="1"/>
    <xf numFmtId="165" fontId="10" fillId="0" borderId="13" xfId="1" applyNumberFormat="1" applyFont="1" applyFill="1" applyBorder="1"/>
    <xf numFmtId="165" fontId="10" fillId="2" borderId="0" xfId="1" applyNumberFormat="1" applyFont="1" applyFill="1" applyBorder="1"/>
    <xf numFmtId="167" fontId="10" fillId="2" borderId="3" xfId="1" applyNumberFormat="1" applyFont="1" applyFill="1" applyBorder="1"/>
    <xf numFmtId="165" fontId="10" fillId="0" borderId="0" xfId="0" applyNumberFormat="1" applyFont="1"/>
    <xf numFmtId="167" fontId="10" fillId="0" borderId="1" xfId="1" applyNumberFormat="1" applyFont="1" applyBorder="1" applyAlignment="1">
      <alignment horizontal="right" wrapText="1"/>
    </xf>
    <xf numFmtId="0" fontId="10" fillId="0" borderId="1" xfId="0" applyFont="1" applyBorder="1" applyAlignment="1">
      <alignment wrapText="1"/>
    </xf>
    <xf numFmtId="0" fontId="10" fillId="0" borderId="11" xfId="0" applyFont="1" applyBorder="1"/>
    <xf numFmtId="165" fontId="10" fillId="0" borderId="11" xfId="1" applyNumberFormat="1" applyFont="1" applyFill="1" applyBorder="1" applyAlignment="1">
      <alignment horizontal="right"/>
    </xf>
    <xf numFmtId="165" fontId="10" fillId="0" borderId="0" xfId="1" applyNumberFormat="1" applyFont="1" applyFill="1" applyBorder="1" applyAlignment="1">
      <alignment horizontal="right"/>
    </xf>
    <xf numFmtId="167" fontId="10" fillId="0" borderId="0" xfId="1" applyNumberFormat="1" applyFont="1" applyBorder="1" applyAlignment="1">
      <alignment horizontal="right" wrapText="1"/>
    </xf>
    <xf numFmtId="0" fontId="10" fillId="0" borderId="10" xfId="0" applyFont="1" applyBorder="1"/>
    <xf numFmtId="165" fontId="10" fillId="6" borderId="6" xfId="0" applyNumberFormat="1" applyFont="1" applyFill="1" applyBorder="1"/>
    <xf numFmtId="165" fontId="10" fillId="0" borderId="10" xfId="1" applyNumberFormat="1" applyFont="1" applyBorder="1" applyAlignment="1">
      <alignment horizontal="right" wrapText="1"/>
    </xf>
    <xf numFmtId="165" fontId="10" fillId="0" borderId="1" xfId="1" applyNumberFormat="1" applyFont="1" applyBorder="1"/>
    <xf numFmtId="0" fontId="10" fillId="0" borderId="1" xfId="0" applyFont="1" applyBorder="1" applyAlignment="1">
      <alignment horizontal="center"/>
    </xf>
    <xf numFmtId="0" fontId="43" fillId="0" borderId="0" xfId="0" applyFont="1"/>
    <xf numFmtId="165" fontId="43" fillId="0" borderId="0" xfId="0" applyNumberFormat="1" applyFont="1"/>
    <xf numFmtId="43" fontId="43" fillId="0" borderId="0" xfId="1" applyFont="1"/>
    <xf numFmtId="10" fontId="10" fillId="0" borderId="0" xfId="0" applyNumberFormat="1" applyFont="1"/>
    <xf numFmtId="43" fontId="43" fillId="0" borderId="0" xfId="1" applyFont="1" applyFill="1"/>
    <xf numFmtId="165" fontId="30" fillId="0" borderId="12" xfId="21" applyNumberFormat="1" applyFont="1" applyBorder="1"/>
    <xf numFmtId="0" fontId="21" fillId="0" borderId="0" xfId="21" applyFont="1"/>
    <xf numFmtId="43" fontId="18" fillId="0" borderId="0" xfId="1" applyFont="1" applyFill="1" applyAlignment="1">
      <alignment horizontal="center"/>
    </xf>
    <xf numFmtId="0" fontId="19" fillId="0" borderId="0" xfId="21" applyFont="1" applyAlignment="1">
      <alignment horizontal="center"/>
    </xf>
    <xf numFmtId="0" fontId="20" fillId="0" borderId="0" xfId="21" applyFont="1"/>
    <xf numFmtId="0" fontId="21" fillId="0" borderId="1" xfId="21" applyFont="1" applyBorder="1" applyAlignment="1">
      <alignment horizontal="center" wrapText="1"/>
    </xf>
    <xf numFmtId="43" fontId="21" fillId="0" borderId="1" xfId="1" applyFont="1" applyFill="1" applyBorder="1" applyAlignment="1">
      <alignment horizontal="center"/>
    </xf>
    <xf numFmtId="0" fontId="21" fillId="0" borderId="1" xfId="21" applyFont="1" applyBorder="1" applyAlignment="1">
      <alignment horizontal="center"/>
    </xf>
    <xf numFmtId="0" fontId="23" fillId="0" borderId="1" xfId="0" applyFont="1" applyBorder="1"/>
    <xf numFmtId="165" fontId="18" fillId="0" borderId="1" xfId="1" applyNumberFormat="1" applyFont="1" applyFill="1" applyBorder="1" applyAlignment="1">
      <alignment horizontal="right"/>
    </xf>
    <xf numFmtId="165" fontId="21" fillId="0" borderId="1" xfId="1" applyNumberFormat="1" applyFont="1" applyFill="1" applyBorder="1" applyAlignment="1">
      <alignment horizontal="right"/>
    </xf>
    <xf numFmtId="165" fontId="21" fillId="0" borderId="12" xfId="1" applyNumberFormat="1" applyFont="1" applyFill="1" applyBorder="1" applyAlignment="1">
      <alignment horizontal="right"/>
    </xf>
    <xf numFmtId="0" fontId="23" fillId="0" borderId="1" xfId="21" applyFont="1" applyBorder="1" applyAlignment="1">
      <alignment horizontal="center" wrapText="1"/>
    </xf>
    <xf numFmtId="0" fontId="23" fillId="0" borderId="1" xfId="21" applyFont="1" applyBorder="1" applyAlignment="1">
      <alignment horizontal="center"/>
    </xf>
    <xf numFmtId="165" fontId="22" fillId="0" borderId="1" xfId="1" applyNumberFormat="1" applyFont="1" applyFill="1" applyBorder="1" applyAlignment="1">
      <alignment horizontal="right"/>
    </xf>
    <xf numFmtId="165" fontId="23" fillId="0" borderId="1" xfId="1" applyNumberFormat="1" applyFont="1" applyFill="1" applyBorder="1" applyAlignment="1">
      <alignment horizontal="right"/>
    </xf>
    <xf numFmtId="43" fontId="21" fillId="0" borderId="12" xfId="1" applyFont="1" applyFill="1" applyBorder="1"/>
    <xf numFmtId="43" fontId="23" fillId="0" borderId="12" xfId="1" applyFont="1" applyFill="1" applyBorder="1"/>
    <xf numFmtId="0" fontId="27" fillId="0" borderId="17" xfId="0" applyFont="1" applyBorder="1"/>
    <xf numFmtId="0" fontId="27" fillId="0" borderId="18" xfId="0" applyFont="1" applyBorder="1"/>
    <xf numFmtId="0" fontId="27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0" xfId="0" applyFont="1"/>
    <xf numFmtId="0" fontId="31" fillId="0" borderId="1" xfId="0" applyFont="1" applyBorder="1" applyAlignment="1">
      <alignment horizontal="center"/>
    </xf>
    <xf numFmtId="0" fontId="10" fillId="0" borderId="18" xfId="0" applyFont="1" applyBorder="1"/>
    <xf numFmtId="0" fontId="10" fillId="0" borderId="19" xfId="0" applyFont="1" applyBorder="1"/>
    <xf numFmtId="2" fontId="10" fillId="0" borderId="0" xfId="0" applyNumberFormat="1" applyFont="1" applyAlignment="1">
      <alignment horizontal="right"/>
    </xf>
    <xf numFmtId="0" fontId="44" fillId="0" borderId="0" xfId="0" applyFont="1"/>
    <xf numFmtId="165" fontId="10" fillId="0" borderId="1" xfId="1" applyNumberFormat="1" applyFont="1" applyFill="1" applyBorder="1"/>
    <xf numFmtId="165" fontId="31" fillId="0" borderId="1" xfId="1" applyNumberFormat="1" applyFont="1" applyFill="1" applyBorder="1"/>
    <xf numFmtId="165" fontId="31" fillId="0" borderId="1" xfId="1" applyNumberFormat="1" applyFont="1" applyFill="1" applyBorder="1" applyAlignment="1">
      <alignment horizontal="right"/>
    </xf>
    <xf numFmtId="165" fontId="10" fillId="0" borderId="11" xfId="1" applyNumberFormat="1" applyFont="1" applyFill="1" applyBorder="1"/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10" fillId="0" borderId="6" xfId="0" applyFont="1" applyBorder="1"/>
    <xf numFmtId="43" fontId="10" fillId="0" borderId="1" xfId="1" applyFont="1" applyFill="1" applyBorder="1" applyAlignment="1">
      <alignment wrapText="1"/>
    </xf>
    <xf numFmtId="43" fontId="10" fillId="0" borderId="1" xfId="1" applyFont="1" applyFill="1" applyBorder="1" applyAlignment="1">
      <alignment horizontal="center" wrapText="1"/>
    </xf>
    <xf numFmtId="43" fontId="10" fillId="0" borderId="1" xfId="1" applyFont="1" applyFill="1" applyBorder="1"/>
    <xf numFmtId="43" fontId="10" fillId="0" borderId="0" xfId="1" applyFont="1" applyFill="1" applyAlignment="1">
      <alignment wrapText="1"/>
    </xf>
    <xf numFmtId="0" fontId="10" fillId="0" borderId="6" xfId="0" applyFont="1" applyBorder="1" applyAlignment="1">
      <alignment wrapText="1"/>
    </xf>
    <xf numFmtId="0" fontId="10" fillId="0" borderId="1" xfId="0" applyFont="1" applyBorder="1" applyAlignment="1">
      <alignment horizontal="left"/>
    </xf>
    <xf numFmtId="166" fontId="10" fillId="0" borderId="0" xfId="0" applyNumberFormat="1" applyFont="1"/>
    <xf numFmtId="0" fontId="33" fillId="0" borderId="0" xfId="0" applyFont="1" applyAlignment="1">
      <alignment horizontal="center" wrapText="1"/>
    </xf>
    <xf numFmtId="165" fontId="34" fillId="0" borderId="0" xfId="1" applyNumberFormat="1" applyFont="1" applyFill="1" applyBorder="1"/>
    <xf numFmtId="165" fontId="46" fillId="0" borderId="0" xfId="1" applyNumberFormat="1" applyFont="1" applyFill="1" applyBorder="1"/>
    <xf numFmtId="0" fontId="45" fillId="0" borderId="1" xfId="0" applyFont="1" applyBorder="1"/>
    <xf numFmtId="0" fontId="9" fillId="0" borderId="0" xfId="0" applyFont="1"/>
    <xf numFmtId="165" fontId="9" fillId="0" borderId="1" xfId="1" applyNumberFormat="1" applyFont="1" applyFill="1" applyBorder="1" applyAlignment="1">
      <alignment horizontal="right"/>
    </xf>
    <xf numFmtId="165" fontId="27" fillId="0" borderId="12" xfId="1" applyNumberFormat="1" applyFont="1" applyFill="1" applyBorder="1"/>
    <xf numFmtId="43" fontId="10" fillId="0" borderId="7" xfId="1" applyFont="1" applyBorder="1" applyAlignment="1">
      <alignment horizontal="right"/>
    </xf>
    <xf numFmtId="166" fontId="10" fillId="0" borderId="0" xfId="0" applyNumberFormat="1" applyFont="1" applyAlignment="1">
      <alignment horizontal="left" wrapText="1"/>
    </xf>
    <xf numFmtId="166" fontId="10" fillId="0" borderId="7" xfId="0" applyNumberFormat="1" applyFont="1" applyBorder="1" applyAlignment="1">
      <alignment horizontal="right"/>
    </xf>
    <xf numFmtId="43" fontId="10" fillId="0" borderId="3" xfId="1" applyFont="1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43" fontId="10" fillId="0" borderId="0" xfId="1" applyFont="1" applyFill="1" applyBorder="1" applyAlignment="1">
      <alignment wrapText="1"/>
    </xf>
    <xf numFmtId="0" fontId="9" fillId="2" borderId="1" xfId="0" applyFont="1" applyFill="1" applyBorder="1"/>
    <xf numFmtId="43" fontId="9" fillId="2" borderId="1" xfId="1" applyFont="1" applyFill="1" applyBorder="1" applyAlignment="1">
      <alignment wrapText="1"/>
    </xf>
    <xf numFmtId="43" fontId="9" fillId="2" borderId="1" xfId="1" applyFont="1" applyFill="1" applyBorder="1"/>
    <xf numFmtId="0" fontId="10" fillId="8" borderId="1" xfId="0" applyFont="1" applyFill="1" applyBorder="1"/>
    <xf numFmtId="43" fontId="10" fillId="8" borderId="20" xfId="1" applyFont="1" applyFill="1" applyBorder="1"/>
    <xf numFmtId="43" fontId="10" fillId="0" borderId="24" xfId="1" applyFont="1" applyFill="1" applyBorder="1"/>
    <xf numFmtId="43" fontId="10" fillId="0" borderId="24" xfId="1" applyFont="1" applyFill="1" applyBorder="1" applyAlignment="1">
      <alignment wrapText="1"/>
    </xf>
    <xf numFmtId="0" fontId="10" fillId="8" borderId="26" xfId="0" applyFont="1" applyFill="1" applyBorder="1"/>
    <xf numFmtId="0" fontId="30" fillId="0" borderId="0" xfId="0" applyFont="1"/>
    <xf numFmtId="0" fontId="32" fillId="0" borderId="0" xfId="0" applyFont="1"/>
    <xf numFmtId="0" fontId="10" fillId="0" borderId="11" xfId="0" applyFont="1" applyBorder="1" applyAlignment="1">
      <alignment wrapText="1"/>
    </xf>
    <xf numFmtId="0" fontId="10" fillId="8" borderId="11" xfId="0" applyFont="1" applyFill="1" applyBorder="1"/>
    <xf numFmtId="0" fontId="9" fillId="8" borderId="11" xfId="0" applyFont="1" applyFill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5" fontId="8" fillId="0" borderId="10" xfId="1" applyNumberFormat="1" applyFont="1" applyFill="1" applyBorder="1" applyAlignment="1">
      <alignment horizontal="right"/>
    </xf>
    <xf numFmtId="165" fontId="8" fillId="0" borderId="26" xfId="1" applyNumberFormat="1" applyFont="1" applyFill="1" applyBorder="1" applyAlignment="1">
      <alignment horizontal="right"/>
    </xf>
    <xf numFmtId="0" fontId="8" fillId="0" borderId="0" xfId="0" applyFont="1"/>
    <xf numFmtId="1" fontId="22" fillId="0" borderId="0" xfId="0" applyNumberFormat="1" applyFont="1"/>
    <xf numFmtId="167" fontId="8" fillId="0" borderId="10" xfId="1" applyNumberFormat="1" applyFont="1" applyFill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165" fontId="7" fillId="0" borderId="0" xfId="0" applyNumberFormat="1" applyFont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24" xfId="0" applyFont="1" applyBorder="1"/>
    <xf numFmtId="165" fontId="6" fillId="7" borderId="1" xfId="0" applyNumberFormat="1" applyFont="1" applyFill="1" applyBorder="1" applyAlignment="1">
      <alignment horizontal="center" wrapText="1"/>
    </xf>
    <xf numFmtId="165" fontId="6" fillId="6" borderId="1" xfId="1" applyNumberFormat="1" applyFont="1" applyFill="1" applyBorder="1" applyAlignment="1">
      <alignment horizontal="right"/>
    </xf>
    <xf numFmtId="165" fontId="6" fillId="7" borderId="1" xfId="0" applyNumberFormat="1" applyFont="1" applyFill="1" applyBorder="1"/>
    <xf numFmtId="165" fontId="6" fillId="6" borderId="1" xfId="0" applyNumberFormat="1" applyFont="1" applyFill="1" applyBorder="1"/>
    <xf numFmtId="0" fontId="6" fillId="0" borderId="0" xfId="0" applyFont="1"/>
    <xf numFmtId="43" fontId="6" fillId="0" borderId="1" xfId="1" applyFont="1" applyFill="1" applyBorder="1"/>
    <xf numFmtId="0" fontId="47" fillId="0" borderId="1" xfId="0" applyFont="1" applyBorder="1"/>
    <xf numFmtId="43" fontId="10" fillId="0" borderId="0" xfId="0" applyNumberFormat="1" applyFont="1"/>
    <xf numFmtId="165" fontId="8" fillId="0" borderId="11" xfId="1" applyNumberFormat="1" applyFont="1" applyFill="1" applyBorder="1"/>
    <xf numFmtId="167" fontId="8" fillId="0" borderId="27" xfId="1" applyNumberFormat="1" applyFont="1" applyFill="1" applyBorder="1" applyAlignment="1">
      <alignment horizontal="right"/>
    </xf>
    <xf numFmtId="165" fontId="8" fillId="0" borderId="27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47" fillId="0" borderId="0" xfId="0" applyFont="1"/>
    <xf numFmtId="0" fontId="10" fillId="0" borderId="23" xfId="0" applyFont="1" applyBorder="1" applyAlignment="1">
      <alignment wrapText="1"/>
    </xf>
    <xf numFmtId="0" fontId="10" fillId="0" borderId="11" xfId="0" applyFont="1" applyBorder="1" applyAlignment="1">
      <alignment horizontal="center" wrapText="1"/>
    </xf>
    <xf numFmtId="43" fontId="10" fillId="0" borderId="4" xfId="1" applyFont="1" applyFill="1" applyBorder="1" applyAlignment="1">
      <alignment wrapText="1"/>
    </xf>
    <xf numFmtId="43" fontId="9" fillId="0" borderId="1" xfId="1" applyFont="1" applyFill="1" applyBorder="1" applyAlignment="1">
      <alignment wrapText="1"/>
    </xf>
    <xf numFmtId="43" fontId="10" fillId="0" borderId="25" xfId="1" applyFont="1" applyFill="1" applyBorder="1" applyAlignment="1">
      <alignment wrapText="1"/>
    </xf>
    <xf numFmtId="0" fontId="4" fillId="0" borderId="0" xfId="0" applyFont="1"/>
    <xf numFmtId="166" fontId="27" fillId="0" borderId="0" xfId="0" applyNumberFormat="1" applyFont="1" applyAlignment="1">
      <alignment vertical="center"/>
    </xf>
    <xf numFmtId="0" fontId="0" fillId="0" borderId="7" xfId="0" applyBorder="1"/>
    <xf numFmtId="43" fontId="48" fillId="8" borderId="1" xfId="1" applyFont="1" applyFill="1" applyBorder="1" applyAlignment="1">
      <alignment wrapText="1"/>
    </xf>
    <xf numFmtId="43" fontId="4" fillId="8" borderId="1" xfId="1" applyFont="1" applyFill="1" applyBorder="1" applyAlignment="1">
      <alignment wrapText="1"/>
    </xf>
    <xf numFmtId="166" fontId="27" fillId="0" borderId="2" xfId="0" applyNumberFormat="1" applyFont="1" applyBorder="1" applyAlignment="1">
      <alignment horizontal="right"/>
    </xf>
    <xf numFmtId="166" fontId="24" fillId="0" borderId="2" xfId="0" applyNumberFormat="1" applyFont="1" applyBorder="1"/>
    <xf numFmtId="0" fontId="31" fillId="5" borderId="1" xfId="0" applyFont="1" applyFill="1" applyBorder="1" applyAlignment="1">
      <alignment wrapText="1"/>
    </xf>
    <xf numFmtId="0" fontId="31" fillId="5" borderId="1" xfId="0" applyFont="1" applyFill="1" applyBorder="1" applyAlignment="1">
      <alignment horizontal="left" wrapText="1"/>
    </xf>
    <xf numFmtId="0" fontId="31" fillId="5" borderId="1" xfId="0" applyFont="1" applyFill="1" applyBorder="1"/>
    <xf numFmtId="43" fontId="31" fillId="5" borderId="1" xfId="1" applyFont="1" applyFill="1" applyBorder="1" applyAlignment="1">
      <alignment wrapText="1"/>
    </xf>
    <xf numFmtId="0" fontId="31" fillId="5" borderId="1" xfId="0" applyFont="1" applyFill="1" applyBorder="1" applyAlignment="1">
      <alignment horizontal="center" wrapText="1"/>
    </xf>
    <xf numFmtId="43" fontId="4" fillId="5" borderId="1" xfId="1" applyFont="1" applyFill="1" applyBorder="1" applyAlignment="1">
      <alignment wrapText="1"/>
    </xf>
    <xf numFmtId="43" fontId="31" fillId="5" borderId="5" xfId="1" applyFont="1" applyFill="1" applyBorder="1" applyAlignment="1">
      <alignment wrapText="1"/>
    </xf>
    <xf numFmtId="43" fontId="31" fillId="5" borderId="24" xfId="1" applyFont="1" applyFill="1" applyBorder="1" applyAlignment="1">
      <alignment wrapText="1"/>
    </xf>
    <xf numFmtId="43" fontId="31" fillId="5" borderId="0" xfId="1" applyFont="1" applyFill="1" applyBorder="1" applyAlignment="1">
      <alignment wrapText="1"/>
    </xf>
    <xf numFmtId="0" fontId="49" fillId="0" borderId="1" xfId="0" applyFont="1" applyBorder="1" applyAlignment="1">
      <alignment wrapText="1"/>
    </xf>
    <xf numFmtId="0" fontId="49" fillId="0" borderId="1" xfId="0" applyFont="1" applyBorder="1" applyAlignment="1">
      <alignment horizontal="left" wrapText="1"/>
    </xf>
    <xf numFmtId="0" fontId="49" fillId="0" borderId="1" xfId="0" applyFont="1" applyBorder="1" applyAlignment="1">
      <alignment horizontal="left"/>
    </xf>
    <xf numFmtId="0" fontId="50" fillId="0" borderId="0" xfId="0" applyFont="1"/>
    <xf numFmtId="0" fontId="49" fillId="0" borderId="1" xfId="0" applyFont="1" applyBorder="1" applyAlignment="1">
      <alignment horizontal="center" wrapText="1"/>
    </xf>
    <xf numFmtId="0" fontId="49" fillId="0" borderId="1" xfId="0" applyFont="1" applyBorder="1"/>
    <xf numFmtId="43" fontId="49" fillId="8" borderId="1" xfId="1" applyFont="1" applyFill="1" applyBorder="1" applyAlignment="1">
      <alignment wrapText="1"/>
    </xf>
    <xf numFmtId="43" fontId="49" fillId="0" borderId="1" xfId="1" applyFont="1" applyFill="1" applyBorder="1" applyAlignment="1">
      <alignment wrapText="1"/>
    </xf>
    <xf numFmtId="43" fontId="49" fillId="2" borderId="1" xfId="1" applyFont="1" applyFill="1" applyBorder="1" applyAlignment="1">
      <alignment wrapText="1"/>
    </xf>
    <xf numFmtId="43" fontId="49" fillId="0" borderId="24" xfId="1" applyFont="1" applyFill="1" applyBorder="1" applyAlignment="1">
      <alignment wrapText="1"/>
    </xf>
    <xf numFmtId="43" fontId="49" fillId="0" borderId="0" xfId="1" applyFont="1" applyFill="1" applyBorder="1" applyAlignment="1">
      <alignment wrapText="1"/>
    </xf>
    <xf numFmtId="0" fontId="48" fillId="0" borderId="1" xfId="0" applyFont="1" applyBorder="1"/>
    <xf numFmtId="165" fontId="48" fillId="7" borderId="1" xfId="0" applyNumberFormat="1" applyFont="1" applyFill="1" applyBorder="1" applyAlignment="1">
      <alignment horizontal="center" wrapText="1"/>
    </xf>
    <xf numFmtId="165" fontId="48" fillId="6" borderId="0" xfId="1" applyNumberFormat="1" applyFont="1" applyFill="1" applyBorder="1" applyAlignment="1">
      <alignment horizontal="right"/>
    </xf>
    <xf numFmtId="165" fontId="48" fillId="7" borderId="1" xfId="0" applyNumberFormat="1" applyFont="1" applyFill="1" applyBorder="1"/>
    <xf numFmtId="0" fontId="4" fillId="3" borderId="1" xfId="0" applyFont="1" applyFill="1" applyBorder="1"/>
    <xf numFmtId="43" fontId="4" fillId="3" borderId="1" xfId="1" applyFont="1" applyFill="1" applyBorder="1"/>
    <xf numFmtId="43" fontId="4" fillId="3" borderId="1" xfId="1" applyFont="1" applyFill="1" applyBorder="1" applyAlignment="1">
      <alignment wrapText="1"/>
    </xf>
    <xf numFmtId="43" fontId="31" fillId="3" borderId="1" xfId="1" applyFont="1" applyFill="1" applyBorder="1" applyAlignment="1">
      <alignment wrapText="1"/>
    </xf>
    <xf numFmtId="43" fontId="4" fillId="3" borderId="4" xfId="1" applyFont="1" applyFill="1" applyBorder="1" applyAlignment="1">
      <alignment wrapText="1"/>
    </xf>
    <xf numFmtId="167" fontId="8" fillId="0" borderId="1" xfId="1" applyNumberFormat="1" applyFont="1" applyFill="1" applyBorder="1" applyAlignment="1">
      <alignment horizontal="right"/>
    </xf>
    <xf numFmtId="165" fontId="6" fillId="9" borderId="1" xfId="1" applyNumberFormat="1" applyFont="1" applyFill="1" applyBorder="1" applyAlignment="1">
      <alignment horizontal="right"/>
    </xf>
    <xf numFmtId="165" fontId="48" fillId="9" borderId="1" xfId="1" applyNumberFormat="1" applyFont="1" applyFill="1" applyBorder="1" applyAlignment="1">
      <alignment horizontal="right"/>
    </xf>
    <xf numFmtId="0" fontId="3" fillId="0" borderId="1" xfId="0" applyFont="1" applyBorder="1"/>
    <xf numFmtId="0" fontId="43" fillId="0" borderId="1" xfId="0" applyFont="1" applyBorder="1"/>
    <xf numFmtId="0" fontId="3" fillId="0" borderId="11" xfId="0" applyFont="1" applyBorder="1"/>
    <xf numFmtId="0" fontId="3" fillId="0" borderId="1" xfId="0" applyFont="1" applyBorder="1" applyAlignment="1">
      <alignment horizontal="left" wrapText="1"/>
    </xf>
    <xf numFmtId="165" fontId="30" fillId="9" borderId="1" xfId="21" applyNumberFormat="1" applyFont="1" applyFill="1" applyBorder="1"/>
    <xf numFmtId="0" fontId="2" fillId="0" borderId="4" xfId="0" applyFont="1" applyBorder="1" applyAlignment="1">
      <alignment wrapText="1"/>
    </xf>
    <xf numFmtId="0" fontId="2" fillId="0" borderId="11" xfId="0" applyFont="1" applyBorder="1" applyAlignment="1">
      <alignment horizontal="left" wrapText="1"/>
    </xf>
    <xf numFmtId="0" fontId="1" fillId="0" borderId="0" xfId="0" applyFont="1"/>
    <xf numFmtId="14" fontId="31" fillId="5" borderId="1" xfId="0" applyNumberFormat="1" applyFont="1" applyFill="1" applyBorder="1" applyAlignment="1">
      <alignment horizontal="left" wrapText="1"/>
    </xf>
    <xf numFmtId="0" fontId="1" fillId="0" borderId="1" xfId="0" applyFont="1" applyBorder="1"/>
    <xf numFmtId="4" fontId="10" fillId="0" borderId="1" xfId="0" applyNumberFormat="1" applyFont="1" applyBorder="1"/>
    <xf numFmtId="0" fontId="10" fillId="9" borderId="0" xfId="0" applyFont="1" applyFill="1"/>
    <xf numFmtId="0" fontId="1" fillId="0" borderId="1" xfId="0" applyFont="1" applyBorder="1" applyAlignment="1">
      <alignment wrapText="1"/>
    </xf>
    <xf numFmtId="14" fontId="31" fillId="5" borderId="1" xfId="1" applyNumberFormat="1" applyFont="1" applyFill="1" applyBorder="1" applyAlignment="1">
      <alignment horizontal="left" wrapText="1"/>
    </xf>
    <xf numFmtId="14" fontId="30" fillId="0" borderId="1" xfId="21" applyNumberFormat="1" applyFont="1" applyBorder="1" applyAlignment="1">
      <alignment horizontal="left"/>
    </xf>
    <xf numFmtId="14" fontId="30" fillId="0" borderId="1" xfId="21" applyNumberFormat="1" applyFont="1" applyBorder="1"/>
    <xf numFmtId="14" fontId="30" fillId="0" borderId="15" xfId="21" applyNumberFormat="1" applyFont="1" applyBorder="1"/>
    <xf numFmtId="14" fontId="32" fillId="0" borderId="1" xfId="21" quotePrefix="1" applyNumberFormat="1" applyFont="1" applyBorder="1"/>
    <xf numFmtId="14" fontId="30" fillId="0" borderId="1" xfId="21" quotePrefix="1" applyNumberFormat="1" applyFont="1" applyBorder="1"/>
    <xf numFmtId="165" fontId="24" fillId="0" borderId="0" xfId="21" applyNumberFormat="1" applyFont="1"/>
    <xf numFmtId="14" fontId="12" fillId="0" borderId="0" xfId="21" applyNumberFormat="1"/>
    <xf numFmtId="165" fontId="51" fillId="0" borderId="12" xfId="21" applyNumberFormat="1" applyFont="1" applyBorder="1"/>
    <xf numFmtId="44" fontId="10" fillId="0" borderId="0" xfId="0" applyNumberFormat="1" applyFont="1"/>
    <xf numFmtId="0" fontId="1" fillId="0" borderId="11" xfId="0" applyFont="1" applyBorder="1"/>
    <xf numFmtId="14" fontId="8" fillId="0" borderId="1" xfId="0" applyNumberFormat="1" applyFont="1" applyBorder="1"/>
    <xf numFmtId="0" fontId="1" fillId="0" borderId="1" xfId="0" applyFont="1" applyBorder="1" applyAlignment="1">
      <alignment horizontal="center"/>
    </xf>
    <xf numFmtId="165" fontId="1" fillId="0" borderId="1" xfId="1" applyNumberFormat="1" applyFont="1" applyFill="1" applyBorder="1"/>
    <xf numFmtId="165" fontId="1" fillId="0" borderId="11" xfId="1" applyNumberFormat="1" applyFont="1" applyFill="1" applyBorder="1"/>
    <xf numFmtId="14" fontId="27" fillId="0" borderId="1" xfId="0" applyNumberFormat="1" applyFont="1" applyBorder="1"/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7" fontId="27" fillId="0" borderId="27" xfId="1" applyNumberFormat="1" applyFont="1" applyFill="1" applyBorder="1" applyAlignment="1">
      <alignment horizontal="right"/>
    </xf>
    <xf numFmtId="165" fontId="27" fillId="0" borderId="27" xfId="1" applyNumberFormat="1" applyFont="1" applyFill="1" applyBorder="1" applyAlignment="1">
      <alignment horizontal="right"/>
    </xf>
    <xf numFmtId="165" fontId="27" fillId="0" borderId="10" xfId="1" applyNumberFormat="1" applyFont="1" applyFill="1" applyBorder="1" applyAlignment="1">
      <alignment horizontal="right"/>
    </xf>
    <xf numFmtId="43" fontId="52" fillId="0" borderId="0" xfId="1" applyFont="1"/>
    <xf numFmtId="2" fontId="1" fillId="0" borderId="0" xfId="0" applyNumberFormat="1" applyFont="1"/>
    <xf numFmtId="44" fontId="27" fillId="0" borderId="0" xfId="0" applyNumberFormat="1" applyFont="1"/>
  </cellXfs>
  <cellStyles count="29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Normal 2" xfId="21" xr:uid="{00000000-0005-0000-0000-00001B000000}"/>
    <cellStyle name="Normal 3" xfId="28" xr:uid="{00000000-0005-0000-0000-00001C000000}"/>
    <cellStyle name="Per 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772160</xdr:colOff>
      <xdr:row>23</xdr:row>
      <xdr:rowOff>101600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2C12824-A580-014D-BE48-E2A38AF5A32B}"/>
            </a:ext>
          </a:extLst>
        </xdr:cNvPr>
        <xdr:cNvSpPr txBox="1"/>
      </xdr:nvSpPr>
      <xdr:spPr>
        <a:xfrm>
          <a:off x="7345680" y="474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750990</xdr:colOff>
      <xdr:row>28</xdr:row>
      <xdr:rowOff>156190</xdr:rowOff>
    </xdr:from>
    <xdr:ext cx="1122516" cy="43678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B071F03-9FD3-7FCD-BF81-416D32185739}"/>
            </a:ext>
          </a:extLst>
        </xdr:cNvPr>
        <xdr:cNvSpPr txBox="1"/>
      </xdr:nvSpPr>
      <xdr:spPr>
        <a:xfrm>
          <a:off x="750990" y="5609253"/>
          <a:ext cx="112251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PCC flood pump</a:t>
          </a:r>
        </a:p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</xdr:colOff>
      <xdr:row>1</xdr:row>
      <xdr:rowOff>45719</xdr:rowOff>
    </xdr:to>
    <xdr:pic>
      <xdr:nvPicPr>
        <xdr:cNvPr id="2" name="Picture 1" descr="page1image6307392">
          <a:extLst>
            <a:ext uri="{FF2B5EF4-FFF2-40B4-BE49-F238E27FC236}">
              <a16:creationId xmlns:a16="http://schemas.microsoft.com/office/drawing/2014/main" id="{2B6C4DFC-0B5A-5A42-878D-D1FCDC651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0" y="241300"/>
          <a:ext cx="1" cy="45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7</xdr:col>
      <xdr:colOff>891582</xdr:colOff>
      <xdr:row>114</xdr:row>
      <xdr:rowOff>101600</xdr:rowOff>
    </xdr:to>
    <xdr:pic>
      <xdr:nvPicPr>
        <xdr:cNvPr id="3" name="Picture 2" descr="page1image6307200">
          <a:extLst>
            <a:ext uri="{FF2B5EF4-FFF2-40B4-BE49-F238E27FC236}">
              <a16:creationId xmlns:a16="http://schemas.microsoft.com/office/drawing/2014/main" id="{A764DB8C-FA1A-C048-AFD2-6B392D4B4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7400" y="22821900"/>
          <a:ext cx="6705600" cy="10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inanewell\Desktop\Beyton%202024:25\APCM%202024\Finances\Finances%20May%202024.xlsx" TargetMode="External"/><Relationship Id="rId1" Type="http://schemas.openxmlformats.org/officeDocument/2006/relationships/externalLinkPath" Target="/Users/tinanewell/Desktop/Beyton%202024:25/APCM%202024/Finances/Finances%20May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nk Rec "/>
      <sheetName val="Bank Rec"/>
      <sheetName val="Payments Schedule for month"/>
      <sheetName val="Payments Receipts Cash Book"/>
      <sheetName val="Reserves"/>
      <sheetName val="Budget vs Actual  "/>
      <sheetName val="Asset Register"/>
    </sheetNames>
    <sheetDataSet>
      <sheetData sheetId="0" refreshError="1"/>
      <sheetData sheetId="1" refreshError="1"/>
      <sheetData sheetId="2" refreshError="1"/>
      <sheetData sheetId="3" refreshError="1">
        <row r="13">
          <cell r="L13" t="str">
            <v>Asset replacement</v>
          </cell>
          <cell r="M13" t="str">
            <v>Audit</v>
          </cell>
          <cell r="O13" t="str">
            <v>Bins</v>
          </cell>
          <cell r="P13" t="str">
            <v>BVN</v>
          </cell>
          <cell r="Q13" t="str">
            <v>CSW</v>
          </cell>
          <cell r="R13" t="str">
            <v xml:space="preserve">Data Protection </v>
          </cell>
          <cell r="T13" t="str">
            <v>Pond</v>
          </cell>
          <cell r="U13" t="str">
            <v>Election</v>
          </cell>
          <cell r="V13" t="str">
            <v>Geese</v>
          </cell>
          <cell r="W13" t="str">
            <v>Green Maintenance</v>
          </cell>
          <cell r="Y13" t="str">
            <v>Hire of Vestry</v>
          </cell>
          <cell r="Z13" t="str">
            <v>Wesbite</v>
          </cell>
          <cell r="AA13" t="str">
            <v>Insurance</v>
          </cell>
          <cell r="AC13" t="str">
            <v>Litter Pick</v>
          </cell>
          <cell r="AD13" t="str">
            <v>Mileage</v>
          </cell>
          <cell r="AF13" t="str">
            <v>Office</v>
          </cell>
          <cell r="AG13" t="str">
            <v>Play Equip Maint</v>
          </cell>
          <cell r="AH13" t="str">
            <v>Play Inspection</v>
          </cell>
          <cell r="AJ13" t="str">
            <v>Salary</v>
          </cell>
          <cell r="AL13" t="str">
            <v>Stationery C/Man</v>
          </cell>
          <cell r="AN13" t="str">
            <v>Subscriptions</v>
          </cell>
          <cell r="AP13" t="str">
            <v>Training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362C8-7DEC-D444-86EA-C3E82DB499A5}">
  <sheetPr>
    <pageSetUpPr fitToPage="1"/>
  </sheetPr>
  <dimension ref="A1:H29"/>
  <sheetViews>
    <sheetView tabSelected="1" topLeftCell="A13" zoomScaleNormal="100" workbookViewId="0">
      <selection activeCell="L22" sqref="L22"/>
    </sheetView>
  </sheetViews>
  <sheetFormatPr defaultColWidth="10.90625" defaultRowHeight="12.5"/>
  <cols>
    <col min="4" max="4" width="12.1796875" bestFit="1" customWidth="1"/>
    <col min="6" max="6" width="11.453125" bestFit="1" customWidth="1"/>
  </cols>
  <sheetData>
    <row r="1" spans="1:8" ht="13" customHeight="1">
      <c r="A1" s="64" t="s">
        <v>260</v>
      </c>
      <c r="B1" s="64"/>
      <c r="C1" s="64"/>
      <c r="D1" s="148"/>
      <c r="E1" s="148"/>
      <c r="F1" s="148"/>
      <c r="G1" s="148"/>
      <c r="H1" s="148"/>
    </row>
    <row r="2" spans="1:8" ht="13" customHeight="1">
      <c r="A2" s="148"/>
      <c r="B2" s="148"/>
      <c r="C2" s="148"/>
      <c r="D2" s="148"/>
      <c r="E2" s="148"/>
      <c r="F2" s="148"/>
      <c r="G2" s="148"/>
      <c r="H2" s="148"/>
    </row>
    <row r="3" spans="1:8" ht="15.5">
      <c r="A3" s="140"/>
      <c r="B3" s="140"/>
      <c r="C3" s="140"/>
      <c r="D3" s="149" t="s">
        <v>9</v>
      </c>
      <c r="E3" s="149" t="s">
        <v>9</v>
      </c>
      <c r="G3" s="140"/>
      <c r="H3" s="140"/>
    </row>
    <row r="4" spans="1:8" ht="15.5">
      <c r="A4" s="23" t="s">
        <v>258</v>
      </c>
      <c r="B4" s="23"/>
      <c r="C4" s="23"/>
      <c r="D4" s="142"/>
      <c r="E4" s="142"/>
      <c r="G4" s="23"/>
      <c r="H4" s="23"/>
    </row>
    <row r="5" spans="1:8" ht="15.5">
      <c r="A5" s="140" t="s">
        <v>253</v>
      </c>
      <c r="B5" s="140"/>
      <c r="C5" s="140"/>
      <c r="D5" s="143">
        <v>30252.560000000001</v>
      </c>
      <c r="E5" s="143"/>
      <c r="G5" s="140"/>
      <c r="H5" s="140"/>
    </row>
    <row r="6" spans="1:8" ht="15.5">
      <c r="A6" s="140" t="s">
        <v>254</v>
      </c>
      <c r="B6" s="140"/>
      <c r="C6" s="140"/>
      <c r="D6" s="143">
        <v>12994.95</v>
      </c>
      <c r="E6" s="244">
        <f>SUM(D5:D6)</f>
        <v>43247.51</v>
      </c>
      <c r="G6" s="140"/>
      <c r="H6" s="140"/>
    </row>
    <row r="7" spans="1:8" ht="15.5">
      <c r="A7" s="140"/>
      <c r="B7" s="140"/>
      <c r="C7" s="140"/>
      <c r="D7" s="144"/>
      <c r="G7" s="140"/>
      <c r="H7" s="140"/>
    </row>
    <row r="9" spans="1:8" ht="15.5">
      <c r="A9" s="23" t="s">
        <v>255</v>
      </c>
      <c r="B9" s="140"/>
      <c r="C9" s="140"/>
      <c r="D9" s="140"/>
      <c r="E9" s="143"/>
      <c r="F9" s="143"/>
      <c r="G9" s="140"/>
      <c r="H9" s="140"/>
    </row>
    <row r="10" spans="1:8" ht="15.5">
      <c r="A10" s="140" t="s">
        <v>253</v>
      </c>
      <c r="B10" s="140"/>
      <c r="C10" s="140"/>
      <c r="D10" s="143">
        <f>113.14+113.56</f>
        <v>226.7</v>
      </c>
      <c r="E10" s="143"/>
      <c r="F10" s="143"/>
      <c r="G10" s="140"/>
      <c r="H10" s="140"/>
    </row>
    <row r="11" spans="1:8" ht="15.5">
      <c r="A11" s="140" t="s">
        <v>254</v>
      </c>
      <c r="B11" s="145"/>
      <c r="C11" s="145"/>
      <c r="D11" s="241">
        <f>'Payments Receipts Cash Book'!E13</f>
        <v>28229.65</v>
      </c>
      <c r="E11" s="244">
        <f>D11+D10</f>
        <v>28456.350000000002</v>
      </c>
      <c r="F11" s="143"/>
      <c r="G11" s="140"/>
      <c r="H11" s="140"/>
    </row>
    <row r="12" spans="1:8" ht="15.5">
      <c r="A12" s="140"/>
      <c r="B12" s="140"/>
      <c r="C12" s="140"/>
      <c r="D12" s="140"/>
      <c r="F12" s="143"/>
      <c r="G12" s="140"/>
      <c r="H12" s="140"/>
    </row>
    <row r="13" spans="1:8" ht="15.5">
      <c r="A13" s="140"/>
      <c r="B13" s="140"/>
      <c r="C13" s="140"/>
      <c r="D13" s="140"/>
      <c r="E13" s="143"/>
      <c r="F13" s="143"/>
      <c r="G13" s="140"/>
      <c r="H13" s="140"/>
    </row>
    <row r="14" spans="1:8" ht="15.5">
      <c r="A14" s="23" t="s">
        <v>256</v>
      </c>
      <c r="B14" s="140"/>
      <c r="C14" s="140"/>
      <c r="D14" s="140"/>
      <c r="E14" s="146"/>
      <c r="F14" s="143"/>
      <c r="G14" s="140"/>
      <c r="H14" s="140"/>
    </row>
    <row r="15" spans="1:8" ht="15.5">
      <c r="A15" s="140" t="s">
        <v>253</v>
      </c>
      <c r="B15" s="140"/>
      <c r="C15" s="140"/>
      <c r="D15" s="143"/>
      <c r="E15" s="146"/>
      <c r="F15" s="143"/>
      <c r="G15" s="140"/>
      <c r="H15" s="140"/>
    </row>
    <row r="16" spans="1:8" ht="15.5">
      <c r="A16" s="140" t="s">
        <v>254</v>
      </c>
      <c r="B16" s="140"/>
      <c r="C16" s="140"/>
      <c r="D16" s="241">
        <f>'Payments Receipts Cash Book'!I80</f>
        <v>20569.240000000002</v>
      </c>
      <c r="E16" s="244">
        <f>SUM(D15:D16)</f>
        <v>20569.240000000002</v>
      </c>
      <c r="F16" s="143"/>
      <c r="G16" s="140"/>
      <c r="H16" s="140"/>
    </row>
    <row r="17" spans="1:8" ht="15.5">
      <c r="A17" s="140"/>
      <c r="B17" s="140"/>
      <c r="C17" s="140"/>
      <c r="D17" s="140"/>
      <c r="F17" s="143"/>
      <c r="G17" s="140"/>
      <c r="H17" s="140"/>
    </row>
    <row r="18" spans="1:8" ht="15.5">
      <c r="A18" s="279" t="s">
        <v>297</v>
      </c>
      <c r="B18" s="140"/>
      <c r="C18" s="140"/>
      <c r="D18" s="140"/>
      <c r="E18" s="297">
        <v>0</v>
      </c>
      <c r="F18" s="143"/>
      <c r="G18" s="140"/>
      <c r="H18" s="140"/>
    </row>
    <row r="19" spans="1:8" ht="15.5">
      <c r="A19" s="140"/>
      <c r="B19" s="140"/>
      <c r="C19" s="140"/>
      <c r="D19" s="140"/>
      <c r="F19" s="143"/>
      <c r="G19" s="140"/>
      <c r="H19" s="140"/>
    </row>
    <row r="20" spans="1:8" ht="16" thickBot="1">
      <c r="A20" s="341" t="s">
        <v>334</v>
      </c>
      <c r="B20" s="140"/>
      <c r="C20" s="140"/>
      <c r="D20" s="140"/>
      <c r="E20" s="301">
        <f>E6+E11-E16+E18</f>
        <v>51134.619999999995</v>
      </c>
      <c r="F20" s="143"/>
      <c r="G20" s="140"/>
      <c r="H20" s="140"/>
    </row>
    <row r="21" spans="1:8" ht="16" thickTop="1">
      <c r="A21" s="140"/>
      <c r="B21" s="140"/>
      <c r="C21" s="140"/>
      <c r="D21" s="140"/>
      <c r="E21" s="143"/>
      <c r="F21" s="143"/>
      <c r="G21" s="140"/>
      <c r="H21" s="140"/>
    </row>
    <row r="22" spans="1:8" ht="15.5">
      <c r="A22" s="23" t="s">
        <v>401</v>
      </c>
      <c r="B22" s="140"/>
      <c r="C22" s="140"/>
      <c r="D22" s="140"/>
      <c r="E22" s="141"/>
      <c r="F22" s="65"/>
      <c r="G22" s="140"/>
      <c r="H22" s="140"/>
    </row>
    <row r="23" spans="1:8" ht="15.5">
      <c r="A23" s="140" t="s">
        <v>253</v>
      </c>
      <c r="B23" s="139"/>
      <c r="C23" s="139"/>
      <c r="D23" s="139"/>
      <c r="E23" s="242">
        <v>30479.26</v>
      </c>
      <c r="F23" s="143">
        <f>SUM(D5+D10)</f>
        <v>30479.260000000002</v>
      </c>
      <c r="G23" s="233" t="b">
        <f>F23=E23</f>
        <v>1</v>
      </c>
      <c r="H23" s="140"/>
    </row>
    <row r="24" spans="1:8" ht="15.5">
      <c r="A24" s="140" t="s">
        <v>254</v>
      </c>
      <c r="B24" s="140"/>
      <c r="C24" s="140"/>
      <c r="D24" s="140"/>
      <c r="E24" s="243">
        <v>22823.64</v>
      </c>
      <c r="F24" s="143">
        <f>D6+D11-D16</f>
        <v>20655.360000000004</v>
      </c>
      <c r="G24" s="233" t="b">
        <f>F24=E24</f>
        <v>0</v>
      </c>
      <c r="H24" s="140"/>
    </row>
    <row r="25" spans="1:8" ht="16" thickBot="1">
      <c r="A25" s="295"/>
      <c r="B25" s="147"/>
      <c r="C25" s="147"/>
      <c r="D25" s="147"/>
      <c r="E25" s="300">
        <f>SUM(E23:E24)</f>
        <v>53302.899999999994</v>
      </c>
      <c r="F25" s="296">
        <f>E20-E25</f>
        <v>-2168.2799999999988</v>
      </c>
      <c r="G25" s="341" t="s">
        <v>402</v>
      </c>
      <c r="H25" s="140"/>
    </row>
    <row r="26" spans="1:8" ht="16" thickTop="1">
      <c r="B26" s="140"/>
      <c r="C26" s="140"/>
      <c r="D26" s="140"/>
      <c r="E26" s="141"/>
      <c r="F26" s="141"/>
      <c r="G26" s="140"/>
      <c r="H26" s="140"/>
    </row>
    <row r="27" spans="1:8" ht="15.5">
      <c r="A27" s="140"/>
      <c r="B27" s="140"/>
      <c r="C27" s="140"/>
      <c r="D27" s="140"/>
      <c r="E27" s="141"/>
      <c r="F27" s="141"/>
      <c r="G27" s="140"/>
      <c r="H27" s="140"/>
    </row>
    <row r="28" spans="1:8" ht="15.5">
      <c r="A28" s="140"/>
      <c r="B28" s="140"/>
      <c r="C28" s="140"/>
      <c r="D28" s="140"/>
      <c r="E28" s="141"/>
      <c r="F28" s="141"/>
      <c r="G28" s="140"/>
      <c r="H28" s="140"/>
    </row>
    <row r="29" spans="1:8" ht="15.5">
      <c r="B29" s="140"/>
      <c r="C29" s="140"/>
      <c r="D29" s="140"/>
      <c r="E29" s="141"/>
      <c r="F29" s="141"/>
      <c r="G29" s="140"/>
      <c r="H29" s="140"/>
    </row>
  </sheetData>
  <pageMargins left="0.7" right="0.7" top="0.75" bottom="0.75" header="0.3" footer="0.3"/>
  <pageSetup paperSize="9" orientation="portrait" horizontalDpi="0" verticalDpi="0" copies="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4"/>
  <sheetViews>
    <sheetView zoomScale="177" zoomScaleNormal="149" zoomScalePageLayoutView="110" workbookViewId="0">
      <selection activeCell="I4" sqref="I4:I5"/>
    </sheetView>
  </sheetViews>
  <sheetFormatPr defaultColWidth="10.81640625" defaultRowHeight="15.5"/>
  <cols>
    <col min="1" max="1" width="43.6328125" style="62" customWidth="1"/>
    <col min="2" max="2" width="6.1796875" style="62" bestFit="1" customWidth="1"/>
    <col min="3" max="4" width="11.453125" style="62" bestFit="1" customWidth="1"/>
    <col min="5" max="5" width="14.36328125" style="66" bestFit="1" customWidth="1"/>
    <col min="6" max="6" width="9" style="62" bestFit="1" customWidth="1"/>
    <col min="7" max="7" width="35.36328125" style="2" bestFit="1" customWidth="1"/>
    <col min="8" max="8" width="11.453125" style="2" customWidth="1"/>
    <col min="9" max="9" width="12" style="62" bestFit="1" customWidth="1"/>
    <col min="10" max="10" width="12.453125" style="67" bestFit="1" customWidth="1"/>
    <col min="11" max="11" width="18.36328125" style="67" customWidth="1"/>
    <col min="12" max="13" width="18.6328125" style="62" customWidth="1"/>
    <col min="14" max="15" width="10.81640625" style="62"/>
    <col min="16" max="16" width="11.1796875" style="2" bestFit="1" customWidth="1"/>
    <col min="17" max="16384" width="10.81640625" style="62"/>
  </cols>
  <sheetData>
    <row r="1" spans="1:16" ht="25" customHeight="1">
      <c r="A1" s="63" t="s">
        <v>118</v>
      </c>
      <c r="B1" s="63"/>
      <c r="C1" s="63"/>
      <c r="D1" s="64"/>
      <c r="E1" s="64"/>
      <c r="G1" s="1"/>
      <c r="H1" s="1"/>
    </row>
    <row r="3" spans="1:16">
      <c r="A3" s="80" t="s">
        <v>117</v>
      </c>
      <c r="B3" s="81"/>
      <c r="C3" s="81"/>
      <c r="D3" s="81"/>
      <c r="E3" s="82" t="s">
        <v>47</v>
      </c>
      <c r="G3" s="80" t="s">
        <v>53</v>
      </c>
      <c r="H3" s="81"/>
      <c r="I3" s="91"/>
      <c r="J3" s="67" t="s">
        <v>141</v>
      </c>
    </row>
    <row r="4" spans="1:16">
      <c r="A4" s="68" t="s">
        <v>137</v>
      </c>
      <c r="B4" s="69"/>
      <c r="C4" s="70"/>
      <c r="D4" s="70"/>
      <c r="E4" s="83">
        <f>49871.33-39.2</f>
        <v>49832.130000000005</v>
      </c>
      <c r="G4" s="71" t="s">
        <v>54</v>
      </c>
      <c r="H4" s="79"/>
      <c r="I4" s="92">
        <f>E4+D7-E14-E15+E16</f>
        <v>27492.539999999994</v>
      </c>
      <c r="J4" s="72">
        <v>12994.95</v>
      </c>
      <c r="K4" s="72">
        <f>I4-J4</f>
        <v>14497.589999999993</v>
      </c>
    </row>
    <row r="5" spans="1:16">
      <c r="A5" s="68" t="s">
        <v>138</v>
      </c>
      <c r="B5" s="69"/>
      <c r="C5" s="70"/>
      <c r="D5" s="70"/>
      <c r="E5" s="83">
        <v>100.79</v>
      </c>
      <c r="F5" s="65" t="s">
        <v>7</v>
      </c>
      <c r="G5" s="71" t="s">
        <v>135</v>
      </c>
      <c r="H5" s="79"/>
      <c r="I5" s="135">
        <f>E5+C8+C9+C10+C11+E15</f>
        <v>30252.560000000001</v>
      </c>
      <c r="J5" s="72">
        <v>30252.560000000001</v>
      </c>
      <c r="K5" s="72">
        <f>I5-J5</f>
        <v>0</v>
      </c>
    </row>
    <row r="6" spans="1:16">
      <c r="A6" s="68"/>
      <c r="B6" s="69"/>
      <c r="C6" s="70"/>
      <c r="D6" s="70"/>
      <c r="E6" s="83"/>
      <c r="F6" s="65"/>
      <c r="G6" s="89"/>
      <c r="H6" s="79"/>
      <c r="I6" s="93"/>
      <c r="J6" s="72"/>
      <c r="K6" s="72"/>
    </row>
    <row r="7" spans="1:16" ht="16" thickBot="1">
      <c r="A7" s="90" t="s">
        <v>250</v>
      </c>
      <c r="B7" s="70"/>
      <c r="C7" s="74">
        <v>0</v>
      </c>
      <c r="D7" s="73">
        <f>'Payments Receipts Cash Book'!E13</f>
        <v>28229.65</v>
      </c>
      <c r="E7" s="83"/>
      <c r="G7" s="85" t="str">
        <f>A18</f>
        <v>Account balances as at 31 03 24</v>
      </c>
      <c r="H7" s="137"/>
      <c r="I7" s="138">
        <f>SUM(I4:I5)</f>
        <v>57745.099999999991</v>
      </c>
      <c r="J7" s="72">
        <f>SUM(J4:J5)</f>
        <v>43247.51</v>
      </c>
      <c r="K7" s="72" t="b">
        <f>J7=I7</f>
        <v>0</v>
      </c>
    </row>
    <row r="8" spans="1:16" ht="16" thickTop="1">
      <c r="A8" s="68" t="s">
        <v>139</v>
      </c>
      <c r="B8" s="70"/>
      <c r="C8" s="69">
        <f>0.21</f>
        <v>0.21</v>
      </c>
      <c r="D8" s="69"/>
      <c r="E8" s="84"/>
      <c r="G8" s="75"/>
      <c r="H8" s="75"/>
      <c r="I8" s="65"/>
      <c r="J8" s="72"/>
      <c r="K8" s="72"/>
    </row>
    <row r="9" spans="1:16">
      <c r="A9" s="68" t="s">
        <v>248</v>
      </c>
      <c r="B9" s="70"/>
      <c r="C9" s="69">
        <v>0.27</v>
      </c>
      <c r="D9" s="69"/>
      <c r="E9" s="84"/>
      <c r="G9" s="7"/>
      <c r="H9" s="7"/>
      <c r="I9" s="65"/>
      <c r="J9" s="62"/>
      <c r="K9" s="62"/>
      <c r="M9" s="2"/>
      <c r="P9" s="62"/>
    </row>
    <row r="10" spans="1:16">
      <c r="A10" s="68" t="s">
        <v>149</v>
      </c>
      <c r="B10" s="70"/>
      <c r="C10" s="69">
        <v>38.57</v>
      </c>
      <c r="D10" s="69"/>
      <c r="E10" s="84"/>
      <c r="G10" s="7"/>
      <c r="H10" s="7"/>
      <c r="I10" s="65"/>
      <c r="J10" s="62"/>
      <c r="K10" s="62"/>
      <c r="M10" s="2"/>
      <c r="P10" s="62"/>
    </row>
    <row r="11" spans="1:16">
      <c r="A11" s="68" t="s">
        <v>241</v>
      </c>
      <c r="B11" s="70"/>
      <c r="C11" s="69">
        <v>112.72</v>
      </c>
      <c r="D11" s="69">
        <f>SUM(C8:C11)</f>
        <v>151.76999999999998</v>
      </c>
      <c r="E11" s="84">
        <f>D11+D7</f>
        <v>28381.420000000002</v>
      </c>
      <c r="G11" s="7"/>
      <c r="H11" s="7"/>
      <c r="I11" s="65"/>
      <c r="J11" s="62"/>
      <c r="K11" s="62"/>
      <c r="M11" s="2"/>
      <c r="P11" s="62"/>
    </row>
    <row r="12" spans="1:16">
      <c r="A12" s="68" t="s">
        <v>251</v>
      </c>
      <c r="B12" s="130"/>
      <c r="C12" s="131"/>
      <c r="D12" s="69"/>
      <c r="E12" s="84">
        <v>30000</v>
      </c>
      <c r="G12" s="7"/>
      <c r="H12" s="7"/>
      <c r="I12" s="65"/>
      <c r="J12" s="62"/>
      <c r="K12" s="62"/>
      <c r="M12" s="2"/>
      <c r="P12" s="62"/>
    </row>
    <row r="13" spans="1:16">
      <c r="A13" s="129"/>
      <c r="B13" s="130"/>
      <c r="C13" s="131"/>
      <c r="D13" s="69"/>
      <c r="E13" s="84"/>
      <c r="G13" s="7"/>
      <c r="H13" s="7"/>
      <c r="I13" s="65"/>
      <c r="J13" s="62"/>
      <c r="K13" s="62"/>
      <c r="M13" s="2"/>
      <c r="P13" s="62"/>
    </row>
    <row r="14" spans="1:16">
      <c r="A14" s="68" t="s">
        <v>252</v>
      </c>
      <c r="B14" s="70"/>
      <c r="C14" s="69">
        <f>'Payments Receipts Cash Book'!I80</f>
        <v>20569.240000000002</v>
      </c>
      <c r="D14" s="69"/>
      <c r="E14" s="84">
        <f>C14</f>
        <v>20569.240000000002</v>
      </c>
      <c r="G14" s="7"/>
      <c r="H14" s="7"/>
      <c r="I14" s="65"/>
      <c r="J14" s="62"/>
      <c r="K14" s="62"/>
      <c r="M14" s="2"/>
      <c r="P14" s="62"/>
    </row>
    <row r="15" spans="1:16">
      <c r="A15" s="68" t="s">
        <v>147</v>
      </c>
      <c r="B15" s="70"/>
      <c r="C15" s="69"/>
      <c r="D15" s="69"/>
      <c r="E15" s="84">
        <v>30000</v>
      </c>
      <c r="G15" s="7"/>
      <c r="H15" s="7"/>
      <c r="I15" s="65"/>
      <c r="J15" s="62"/>
      <c r="K15" s="62"/>
      <c r="M15" s="2"/>
      <c r="P15" s="62"/>
    </row>
    <row r="16" spans="1:16">
      <c r="A16" s="68"/>
      <c r="B16" s="70"/>
      <c r="C16" s="69"/>
      <c r="D16" s="69"/>
      <c r="E16" s="84"/>
      <c r="G16" s="7"/>
      <c r="H16" s="7"/>
      <c r="I16" s="65"/>
      <c r="J16" s="62"/>
      <c r="K16" s="62"/>
      <c r="M16" s="2"/>
      <c r="P16" s="62"/>
    </row>
    <row r="17" spans="1:16">
      <c r="A17" s="90"/>
      <c r="B17" s="70"/>
      <c r="C17" s="69"/>
      <c r="D17" s="69"/>
      <c r="E17" s="84"/>
      <c r="J17" s="62"/>
      <c r="K17" s="62"/>
      <c r="M17" s="2"/>
      <c r="P17" s="62"/>
    </row>
    <row r="18" spans="1:16" ht="16" thickBot="1">
      <c r="A18" s="80" t="s">
        <v>242</v>
      </c>
      <c r="B18" s="86"/>
      <c r="C18" s="86"/>
      <c r="D18" s="87"/>
      <c r="E18" s="136">
        <f>E4+E5+E11+E12-E14-E15</f>
        <v>57745.100000000006</v>
      </c>
      <c r="J18" s="62"/>
      <c r="K18" s="62"/>
      <c r="M18" s="2"/>
      <c r="P18" s="62"/>
    </row>
    <row r="19" spans="1:16" ht="16" thickTop="1">
      <c r="E19" s="66" t="b">
        <f>E18=I7</f>
        <v>1</v>
      </c>
    </row>
    <row r="20" spans="1:16">
      <c r="E20" s="128"/>
    </row>
    <row r="21" spans="1:16">
      <c r="F21" s="65"/>
      <c r="P21" s="7"/>
    </row>
    <row r="22" spans="1:16">
      <c r="F22" s="65"/>
      <c r="J22" s="76"/>
    </row>
    <row r="23" spans="1:16">
      <c r="F23" s="65"/>
      <c r="J23" s="76"/>
    </row>
    <row r="26" spans="1:16">
      <c r="E26" s="62"/>
    </row>
    <row r="27" spans="1:16">
      <c r="E27" s="62"/>
    </row>
    <row r="28" spans="1:16">
      <c r="E28" s="62"/>
    </row>
    <row r="29" spans="1:16">
      <c r="E29" s="62"/>
    </row>
    <row r="30" spans="1:16">
      <c r="E30" s="62"/>
    </row>
    <row r="31" spans="1:16">
      <c r="E31" s="62"/>
    </row>
    <row r="32" spans="1:16">
      <c r="E32" s="62"/>
    </row>
    <row r="33" spans="1:16">
      <c r="E33" s="62"/>
    </row>
    <row r="34" spans="1:16">
      <c r="E34" s="62"/>
    </row>
    <row r="35" spans="1:16">
      <c r="E35" s="62"/>
    </row>
    <row r="36" spans="1:16">
      <c r="E36" s="62"/>
    </row>
    <row r="37" spans="1:16">
      <c r="E37" s="62"/>
    </row>
    <row r="38" spans="1:16">
      <c r="E38" s="62"/>
    </row>
    <row r="39" spans="1:16">
      <c r="E39" s="62"/>
      <c r="G39" s="67"/>
      <c r="H39" s="67"/>
      <c r="I39" s="4"/>
    </row>
    <row r="40" spans="1:16">
      <c r="E40" s="62"/>
      <c r="G40" s="67"/>
      <c r="H40" s="67"/>
      <c r="I40" s="4"/>
    </row>
    <row r="42" spans="1:16">
      <c r="A42" s="64"/>
      <c r="B42" s="64"/>
      <c r="C42" s="78"/>
      <c r="D42" s="78"/>
      <c r="E42" s="77"/>
    </row>
    <row r="44" spans="1:16">
      <c r="F44" s="77"/>
      <c r="K44" s="62"/>
      <c r="O44" s="2"/>
      <c r="P44" s="62"/>
    </row>
  </sheetData>
  <customSheetViews>
    <customSheetView guid="{D77C52FB-56C3-AF47-AD29-EE07F130855B}" showPageBreaks="1" fitToPage="1" printArea="1" topLeftCell="A2">
      <selection activeCell="A18" sqref="A18"/>
      <pageMargins left="0.7" right="0.7" top="0.75" bottom="0.75" header="0.3" footer="0.3"/>
      <pageSetup paperSize="9" scale="65" orientation="portrait" copies="8" r:id="rId1"/>
    </customSheetView>
  </customSheetViews>
  <phoneticPr fontId="17" type="noConversion"/>
  <pageMargins left="0.7" right="0.7" top="0.75" bottom="0.75" header="0.3" footer="0.3"/>
  <pageSetup paperSize="9" scale="7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6B76A-AE2F-4643-AD69-A260EBA8A437}">
  <dimension ref="A1:I24"/>
  <sheetViews>
    <sheetView topLeftCell="A4" zoomScale="82" zoomScaleNormal="130" workbookViewId="0">
      <selection activeCell="J14" sqref="J14"/>
    </sheetView>
  </sheetViews>
  <sheetFormatPr defaultColWidth="10.90625" defaultRowHeight="12.5"/>
  <cols>
    <col min="1" max="1" width="13.54296875" customWidth="1"/>
    <col min="2" max="2" width="10" customWidth="1"/>
    <col min="3" max="3" width="22.36328125" bestFit="1" customWidth="1"/>
    <col min="4" max="4" width="19.6328125" bestFit="1" customWidth="1"/>
    <col min="5" max="5" width="19.6328125" customWidth="1"/>
    <col min="8" max="8" width="11.1796875" bestFit="1" customWidth="1"/>
  </cols>
  <sheetData>
    <row r="1" spans="1:9" s="140" customFormat="1" ht="15.5">
      <c r="A1" s="210" t="s">
        <v>381</v>
      </c>
      <c r="B1" s="211"/>
      <c r="C1" s="216"/>
      <c r="D1" s="216"/>
      <c r="I1" s="218" t="s">
        <v>7</v>
      </c>
    </row>
    <row r="2" spans="1:9" s="140" customFormat="1" ht="15.5">
      <c r="A2" s="219"/>
      <c r="B2" s="23"/>
      <c r="I2" s="141"/>
    </row>
    <row r="3" spans="1:9" s="140" customFormat="1" ht="15.5">
      <c r="A3" s="23" t="s">
        <v>384</v>
      </c>
      <c r="B3" s="23"/>
      <c r="I3" s="141"/>
    </row>
    <row r="4" spans="1:9" s="140" customFormat="1" ht="29" customHeight="1">
      <c r="A4" s="259" t="s">
        <v>42</v>
      </c>
      <c r="B4" s="178" t="s">
        <v>23</v>
      </c>
      <c r="C4" s="357" t="s">
        <v>382</v>
      </c>
      <c r="D4" s="178" t="s">
        <v>49</v>
      </c>
      <c r="E4" s="357" t="s">
        <v>43</v>
      </c>
      <c r="F4" s="260" t="s">
        <v>14</v>
      </c>
      <c r="G4" s="261" t="s">
        <v>15</v>
      </c>
      <c r="H4" s="256" t="s">
        <v>16</v>
      </c>
    </row>
    <row r="5" spans="1:9" s="266" customFormat="1" ht="15.5">
      <c r="A5" s="358">
        <v>45538</v>
      </c>
      <c r="B5" s="359"/>
      <c r="C5" s="360" t="s">
        <v>383</v>
      </c>
      <c r="D5" s="343" t="s">
        <v>370</v>
      </c>
      <c r="E5" s="343">
        <v>33</v>
      </c>
      <c r="F5" s="268">
        <v>252</v>
      </c>
      <c r="G5" s="264">
        <v>42</v>
      </c>
      <c r="H5" s="265">
        <v>210</v>
      </c>
      <c r="I5" s="140"/>
    </row>
    <row r="6" spans="1:9" s="266" customFormat="1" ht="15.5">
      <c r="A6" s="358">
        <v>45541</v>
      </c>
      <c r="B6" s="359"/>
      <c r="C6" s="361" t="s">
        <v>385</v>
      </c>
      <c r="D6" s="357" t="s">
        <v>371</v>
      </c>
      <c r="E6" s="357">
        <v>34</v>
      </c>
      <c r="F6" s="284">
        <v>620</v>
      </c>
      <c r="G6" s="285">
        <v>130</v>
      </c>
      <c r="H6" s="264">
        <v>490</v>
      </c>
      <c r="I6" s="140"/>
    </row>
    <row r="7" spans="1:9" s="266" customFormat="1" ht="15.5">
      <c r="A7" s="358">
        <v>45609</v>
      </c>
      <c r="B7" s="359"/>
      <c r="C7" s="361" t="s">
        <v>386</v>
      </c>
      <c r="D7" s="357" t="s">
        <v>372</v>
      </c>
      <c r="E7" s="357">
        <v>35</v>
      </c>
      <c r="F7" s="284">
        <v>3660</v>
      </c>
      <c r="G7" s="285">
        <v>610</v>
      </c>
      <c r="H7" s="264">
        <v>3050</v>
      </c>
      <c r="I7" s="140"/>
    </row>
    <row r="8" spans="1:9" s="266" customFormat="1" ht="15.5">
      <c r="A8" s="358">
        <v>45637</v>
      </c>
      <c r="B8" s="359"/>
      <c r="C8" s="361" t="s">
        <v>387</v>
      </c>
      <c r="D8" s="357" t="s">
        <v>273</v>
      </c>
      <c r="E8" s="357">
        <v>36</v>
      </c>
      <c r="F8" s="284">
        <v>110.6</v>
      </c>
      <c r="G8" s="285"/>
      <c r="H8" s="264">
        <v>110.6</v>
      </c>
      <c r="I8" s="140"/>
    </row>
    <row r="9" spans="1:9" s="266" customFormat="1" ht="15.5">
      <c r="A9" s="358">
        <v>45637</v>
      </c>
      <c r="B9" s="359"/>
      <c r="C9" s="361" t="s">
        <v>388</v>
      </c>
      <c r="D9" s="357" t="s">
        <v>359</v>
      </c>
      <c r="E9" s="357">
        <v>37</v>
      </c>
      <c r="F9" s="284">
        <v>442.68</v>
      </c>
      <c r="G9" s="285"/>
      <c r="H9" s="264">
        <v>442.68</v>
      </c>
      <c r="I9" s="140"/>
    </row>
    <row r="10" spans="1:9" s="266" customFormat="1" ht="15.5">
      <c r="A10" s="358"/>
      <c r="B10" s="359"/>
      <c r="C10" s="361"/>
      <c r="D10" s="357"/>
      <c r="E10" s="357"/>
      <c r="F10" s="366">
        <f>SUM(F5:F9)</f>
        <v>5085.2800000000007</v>
      </c>
      <c r="G10" s="367">
        <f>SUM(G5:G9)</f>
        <v>782</v>
      </c>
      <c r="H10" s="368">
        <f>SUM(H5:H9)</f>
        <v>4303.28</v>
      </c>
      <c r="I10" s="140"/>
    </row>
    <row r="11" spans="1:9" s="266" customFormat="1" ht="15.5">
      <c r="A11" s="362" t="s">
        <v>389</v>
      </c>
      <c r="B11" s="359"/>
      <c r="C11" s="361"/>
      <c r="D11" s="357"/>
      <c r="E11" s="357"/>
      <c r="F11" s="284"/>
      <c r="G11" s="285"/>
      <c r="H11" s="264"/>
      <c r="I11" s="140"/>
    </row>
    <row r="12" spans="1:9" s="266" customFormat="1" ht="15.5">
      <c r="A12" s="358">
        <v>45619</v>
      </c>
      <c r="B12" s="359"/>
      <c r="C12" s="361" t="s">
        <v>390</v>
      </c>
      <c r="D12" s="357" t="s">
        <v>391</v>
      </c>
      <c r="E12" s="357">
        <v>38</v>
      </c>
      <c r="F12" s="284">
        <v>1615</v>
      </c>
      <c r="G12" s="285"/>
      <c r="H12" s="264">
        <v>1615</v>
      </c>
      <c r="I12" s="140"/>
    </row>
    <row r="13" spans="1:9" s="266" customFormat="1" ht="15.5">
      <c r="A13" s="358">
        <v>45609</v>
      </c>
      <c r="B13" s="359"/>
      <c r="C13" s="361" t="s">
        <v>392</v>
      </c>
      <c r="D13" s="357" t="s">
        <v>393</v>
      </c>
      <c r="E13" s="357">
        <v>39</v>
      </c>
      <c r="F13" s="284">
        <v>180</v>
      </c>
      <c r="G13" s="285"/>
      <c r="H13" s="264">
        <v>180</v>
      </c>
      <c r="I13" s="140"/>
    </row>
    <row r="14" spans="1:9" s="266" customFormat="1" ht="15.5">
      <c r="A14" s="358">
        <v>45626</v>
      </c>
      <c r="B14" s="359"/>
      <c r="C14" s="361" t="s">
        <v>394</v>
      </c>
      <c r="D14" s="357" t="s">
        <v>395</v>
      </c>
      <c r="E14" s="357">
        <v>40</v>
      </c>
      <c r="F14" s="284">
        <v>232</v>
      </c>
      <c r="G14" s="285"/>
      <c r="H14" s="264">
        <v>232</v>
      </c>
      <c r="I14" s="140"/>
    </row>
    <row r="15" spans="1:9" s="266" customFormat="1" ht="15.5">
      <c r="A15" s="358">
        <v>45649</v>
      </c>
      <c r="B15" s="359"/>
      <c r="C15" s="361" t="s">
        <v>396</v>
      </c>
      <c r="D15" s="357" t="s">
        <v>397</v>
      </c>
      <c r="E15" s="357">
        <v>41</v>
      </c>
      <c r="F15" s="284">
        <v>584.62</v>
      </c>
      <c r="G15" s="285"/>
      <c r="H15" s="264">
        <v>584.62</v>
      </c>
      <c r="I15" s="140"/>
    </row>
    <row r="16" spans="1:9" s="266" customFormat="1" ht="15.5">
      <c r="A16" s="358">
        <v>45427</v>
      </c>
      <c r="B16" s="359"/>
      <c r="C16" s="361" t="s">
        <v>398</v>
      </c>
      <c r="D16" s="357" t="s">
        <v>271</v>
      </c>
      <c r="E16" s="357">
        <v>42</v>
      </c>
      <c r="F16" s="284">
        <v>127.56</v>
      </c>
      <c r="G16" s="285">
        <v>21.26</v>
      </c>
      <c r="H16" s="264">
        <v>106.3</v>
      </c>
      <c r="I16" s="140"/>
    </row>
    <row r="17" spans="1:9" s="266" customFormat="1" ht="15.5">
      <c r="A17" s="358">
        <v>45467</v>
      </c>
      <c r="B17" s="359"/>
      <c r="C17" s="361" t="s">
        <v>399</v>
      </c>
      <c r="D17" s="357" t="s">
        <v>271</v>
      </c>
      <c r="E17" s="357">
        <v>43</v>
      </c>
      <c r="F17" s="284">
        <v>866.5</v>
      </c>
      <c r="G17" s="285">
        <v>144.41999999999999</v>
      </c>
      <c r="H17" s="264">
        <v>722.08</v>
      </c>
      <c r="I17" s="140"/>
    </row>
    <row r="18" spans="1:9" s="266" customFormat="1" ht="15.5">
      <c r="A18" s="358">
        <v>45646</v>
      </c>
      <c r="B18" s="359"/>
      <c r="C18" s="361" t="s">
        <v>400</v>
      </c>
      <c r="D18" s="357" t="s">
        <v>366</v>
      </c>
      <c r="E18" s="357">
        <v>44</v>
      </c>
      <c r="F18" s="284">
        <v>789.37</v>
      </c>
      <c r="G18" s="285"/>
      <c r="H18" s="264">
        <v>789.37</v>
      </c>
      <c r="I18" s="140"/>
    </row>
    <row r="19" spans="1:9" s="266" customFormat="1" ht="15.5">
      <c r="A19" s="358"/>
      <c r="B19" s="359"/>
      <c r="C19" s="361"/>
      <c r="D19" s="357"/>
      <c r="E19" s="357"/>
      <c r="F19" s="366">
        <f>SUM(F12:F18)</f>
        <v>4395.05</v>
      </c>
      <c r="G19" s="367">
        <f>SUM(G12:G18)</f>
        <v>165.67999999999998</v>
      </c>
      <c r="H19" s="368">
        <f>SUM(H12:H18)</f>
        <v>4229.37</v>
      </c>
      <c r="I19" s="140"/>
    </row>
    <row r="20" spans="1:9" s="266" customFormat="1" ht="15.5">
      <c r="A20" s="358"/>
      <c r="B20" s="359"/>
      <c r="C20" s="361"/>
      <c r="D20" s="357"/>
      <c r="E20" s="357"/>
      <c r="F20" s="284"/>
      <c r="G20" s="285"/>
      <c r="H20" s="264"/>
      <c r="I20" s="140"/>
    </row>
    <row r="21" spans="1:9" s="266" customFormat="1" ht="15.5">
      <c r="A21" s="358"/>
      <c r="B21" s="359"/>
      <c r="C21" s="361"/>
      <c r="D21" s="357"/>
      <c r="E21" s="357"/>
      <c r="F21" s="284"/>
      <c r="G21" s="285"/>
      <c r="H21" s="264"/>
      <c r="I21" s="140"/>
    </row>
    <row r="22" spans="1:9" s="266" customFormat="1" ht="15.5">
      <c r="A22" s="358"/>
      <c r="B22" s="359"/>
      <c r="C22" s="361"/>
      <c r="D22" s="357"/>
      <c r="E22" s="357"/>
      <c r="F22" s="284"/>
      <c r="G22" s="285"/>
      <c r="H22" s="264"/>
      <c r="I22" s="140"/>
    </row>
    <row r="23" spans="1:9" s="266" customFormat="1" ht="15.5">
      <c r="A23" s="262"/>
      <c r="B23" s="263"/>
      <c r="C23" s="283"/>
      <c r="D23" s="336"/>
      <c r="E23" s="336"/>
      <c r="F23" s="284"/>
      <c r="G23" s="285"/>
      <c r="H23" s="331"/>
      <c r="I23" s="140"/>
    </row>
    <row r="24" spans="1:9" ht="15.5">
      <c r="A24" s="258"/>
      <c r="B24" s="267"/>
      <c r="C24" s="257"/>
      <c r="D24" s="257"/>
      <c r="E24" s="257"/>
    </row>
  </sheetData>
  <phoneticPr fontId="17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P85"/>
  <sheetViews>
    <sheetView topLeftCell="Z60" zoomScale="70" zoomScaleNormal="70" zoomScalePageLayoutView="120" workbookViewId="0">
      <selection activeCell="AQ79" sqref="AQ79"/>
    </sheetView>
  </sheetViews>
  <sheetFormatPr defaultColWidth="15.36328125" defaultRowHeight="15.5"/>
  <cols>
    <col min="1" max="2" width="15.36328125" style="140"/>
    <col min="3" max="3" width="22" style="140" customWidth="1"/>
    <col min="4" max="4" width="13.36328125" style="140" bestFit="1" customWidth="1"/>
    <col min="5" max="5" width="13.1796875" style="140" bestFit="1" customWidth="1"/>
    <col min="6" max="6" width="24.453125" style="140" bestFit="1" customWidth="1"/>
    <col min="7" max="9" width="15.36328125" style="140" customWidth="1"/>
    <col min="10" max="10" width="15.36328125" style="141" customWidth="1"/>
    <col min="11" max="11" width="15.36328125" style="140" customWidth="1"/>
    <col min="12" max="12" width="11.453125" style="140" customWidth="1"/>
    <col min="13" max="13" width="8.81640625" style="140" bestFit="1" customWidth="1"/>
    <col min="14" max="14" width="8.1796875" style="140" customWidth="1"/>
    <col min="15" max="15" width="13.36328125" style="140" customWidth="1"/>
    <col min="16" max="16" width="9.81640625" style="140" bestFit="1" customWidth="1"/>
    <col min="17" max="17" width="9.81640625" style="140" customWidth="1"/>
    <col min="18" max="19" width="13.81640625" style="140" customWidth="1"/>
    <col min="20" max="20" width="9.54296875" style="140" customWidth="1"/>
    <col min="21" max="21" width="12.6328125" style="140" customWidth="1"/>
    <col min="22" max="22" width="8.1796875" style="140" customWidth="1"/>
    <col min="23" max="23" width="11.81640625" style="140" customWidth="1"/>
    <col min="24" max="24" width="14.08984375" style="140" customWidth="1"/>
    <col min="25" max="25" width="9" style="140" customWidth="1"/>
    <col min="26" max="26" width="9.1796875" style="140" customWidth="1"/>
    <col min="27" max="27" width="7.81640625" style="140" customWidth="1"/>
    <col min="28" max="28" width="9.7265625" style="140" customWidth="1"/>
    <col min="29" max="29" width="18.26953125" style="140" customWidth="1"/>
    <col min="30" max="30" width="8.90625" style="140" bestFit="1" customWidth="1"/>
    <col min="31" max="33" width="14.81640625" style="140" customWidth="1"/>
    <col min="34" max="34" width="10.7265625" style="140" bestFit="1" customWidth="1"/>
    <col min="35" max="35" width="11.1796875" style="140" customWidth="1"/>
    <col min="36" max="36" width="12" style="140" bestFit="1" customWidth="1"/>
    <col min="37" max="37" width="9.7265625" style="140" customWidth="1"/>
    <col min="38" max="38" width="12" style="140" customWidth="1"/>
    <col min="39" max="39" width="13.453125" style="140" customWidth="1"/>
    <col min="40" max="40" width="9.90625" style="140" customWidth="1"/>
    <col min="41" max="16384" width="15.36328125" style="140"/>
  </cols>
  <sheetData>
    <row r="1" spans="1:11">
      <c r="A1" s="210" t="s">
        <v>259</v>
      </c>
      <c r="B1" s="211"/>
      <c r="C1" s="216"/>
      <c r="D1" s="217"/>
      <c r="J1" s="218" t="s">
        <v>7</v>
      </c>
    </row>
    <row r="2" spans="1:11">
      <c r="A2" s="219" t="s">
        <v>314</v>
      </c>
      <c r="B2" s="23"/>
    </row>
    <row r="3" spans="1:11">
      <c r="A3" s="23" t="s">
        <v>12</v>
      </c>
      <c r="B3" s="23"/>
    </row>
    <row r="4" spans="1:11" s="23" customFormat="1" ht="31" customHeight="1">
      <c r="A4" s="20" t="s">
        <v>57</v>
      </c>
      <c r="B4" s="20" t="s">
        <v>13</v>
      </c>
      <c r="C4" s="20" t="s">
        <v>50</v>
      </c>
      <c r="D4" s="20" t="s">
        <v>58</v>
      </c>
      <c r="E4" s="20" t="s">
        <v>17</v>
      </c>
      <c r="F4" s="21" t="s">
        <v>15</v>
      </c>
      <c r="G4" s="212" t="s">
        <v>3</v>
      </c>
      <c r="H4" s="212" t="s">
        <v>48</v>
      </c>
      <c r="I4" s="21" t="s">
        <v>144</v>
      </c>
      <c r="J4" s="21" t="s">
        <v>140</v>
      </c>
      <c r="K4" s="234" t="s">
        <v>348</v>
      </c>
    </row>
    <row r="5" spans="1:11">
      <c r="A5" s="245" t="s">
        <v>263</v>
      </c>
      <c r="B5" s="237" t="s">
        <v>288</v>
      </c>
      <c r="C5" s="245" t="s">
        <v>271</v>
      </c>
      <c r="D5" s="186"/>
      <c r="E5" s="220">
        <f>G5</f>
        <v>11678.7</v>
      </c>
      <c r="F5" s="220"/>
      <c r="G5" s="164">
        <v>11678.7</v>
      </c>
      <c r="H5" s="220"/>
      <c r="I5" s="220"/>
      <c r="J5" s="220"/>
      <c r="K5" s="235"/>
    </row>
    <row r="6" spans="1:11" s="214" customFormat="1">
      <c r="A6" s="213" t="s">
        <v>264</v>
      </c>
      <c r="B6" s="237" t="s">
        <v>287</v>
      </c>
      <c r="C6" s="213" t="s">
        <v>272</v>
      </c>
      <c r="D6" s="215"/>
      <c r="E6" s="221">
        <f>J6</f>
        <v>2100</v>
      </c>
      <c r="F6" s="221"/>
      <c r="G6" s="213"/>
      <c r="H6" s="221"/>
      <c r="I6" s="221"/>
      <c r="J6" s="222">
        <v>2100</v>
      </c>
      <c r="K6" s="236"/>
    </row>
    <row r="7" spans="1:11">
      <c r="A7" s="245" t="s">
        <v>264</v>
      </c>
      <c r="B7" s="237" t="s">
        <v>286</v>
      </c>
      <c r="C7" s="238" t="s">
        <v>271</v>
      </c>
      <c r="D7" s="186"/>
      <c r="E7" s="220">
        <f>H7</f>
        <v>635.71</v>
      </c>
      <c r="F7" s="220"/>
      <c r="G7" s="160"/>
      <c r="H7" s="220">
        <v>635.71</v>
      </c>
      <c r="I7" s="220"/>
      <c r="J7" s="239" t="s">
        <v>7</v>
      </c>
      <c r="K7" s="235"/>
    </row>
    <row r="8" spans="1:11">
      <c r="A8" s="245" t="s">
        <v>265</v>
      </c>
      <c r="B8" s="237" t="s">
        <v>285</v>
      </c>
      <c r="C8" s="245" t="s">
        <v>273</v>
      </c>
      <c r="D8" s="186"/>
      <c r="E8" s="220">
        <f>F8</f>
        <v>1404.05</v>
      </c>
      <c r="F8" s="179">
        <v>1404.05</v>
      </c>
      <c r="G8" s="160"/>
      <c r="H8" s="223"/>
      <c r="I8" s="223"/>
      <c r="J8" s="223"/>
      <c r="K8" s="235"/>
    </row>
    <row r="9" spans="1:11">
      <c r="A9" s="343" t="s">
        <v>345</v>
      </c>
      <c r="B9" s="237"/>
      <c r="C9" s="343" t="s">
        <v>271</v>
      </c>
      <c r="D9" s="186"/>
      <c r="E9" s="223">
        <v>11678.7</v>
      </c>
      <c r="F9" s="179"/>
      <c r="G9" s="344">
        <v>11678.7</v>
      </c>
      <c r="H9" s="223"/>
      <c r="I9" s="223"/>
      <c r="J9" s="223"/>
      <c r="K9" s="235"/>
    </row>
    <row r="10" spans="1:11">
      <c r="A10" s="343" t="s">
        <v>346</v>
      </c>
      <c r="B10" s="237" t="s">
        <v>377</v>
      </c>
      <c r="C10" s="343" t="s">
        <v>347</v>
      </c>
      <c r="D10" s="186"/>
      <c r="E10" s="223">
        <v>732.49</v>
      </c>
      <c r="F10" s="179"/>
      <c r="G10" s="344"/>
      <c r="H10" s="223"/>
      <c r="I10" s="223"/>
      <c r="J10" s="223"/>
      <c r="K10" s="235"/>
    </row>
    <row r="11" spans="1:11">
      <c r="A11" s="343"/>
      <c r="B11" s="237"/>
      <c r="C11" s="343"/>
      <c r="D11" s="186"/>
      <c r="E11" s="223"/>
      <c r="F11" s="179"/>
      <c r="G11" s="344"/>
      <c r="H11" s="223"/>
      <c r="I11" s="223"/>
      <c r="J11" s="223"/>
      <c r="K11" s="235"/>
    </row>
    <row r="12" spans="1:11">
      <c r="A12" s="343"/>
      <c r="B12" s="237"/>
      <c r="C12" s="343"/>
      <c r="D12" s="186"/>
      <c r="E12" s="223"/>
      <c r="F12" s="179"/>
      <c r="G12" s="344"/>
      <c r="H12" s="223"/>
      <c r="I12" s="223"/>
      <c r="J12" s="223"/>
      <c r="K12" s="235"/>
    </row>
    <row r="13" spans="1:11" ht="16" thickBot="1">
      <c r="A13" s="160"/>
      <c r="B13" s="160"/>
      <c r="C13" s="160"/>
      <c r="D13" s="160"/>
      <c r="E13" s="240">
        <f>SUM(E5:E12)</f>
        <v>28229.65</v>
      </c>
      <c r="F13" s="240">
        <f>SUM(F5:F12)</f>
        <v>1404.05</v>
      </c>
      <c r="G13" s="240">
        <f t="shared" ref="G13:J13" si="0">SUM(G5:G12)</f>
        <v>23357.4</v>
      </c>
      <c r="H13" s="240">
        <f t="shared" si="0"/>
        <v>635.71</v>
      </c>
      <c r="I13" s="240">
        <f t="shared" si="0"/>
        <v>0</v>
      </c>
      <c r="J13" s="240">
        <f t="shared" si="0"/>
        <v>2100</v>
      </c>
      <c r="K13" s="235"/>
    </row>
    <row r="14" spans="1:11" ht="16" thickTop="1">
      <c r="E14" s="175"/>
      <c r="K14" s="94"/>
    </row>
    <row r="15" spans="1:11">
      <c r="E15" s="271"/>
    </row>
    <row r="16" spans="1:11">
      <c r="A16" s="23" t="s">
        <v>59</v>
      </c>
      <c r="D16" s="140" t="s">
        <v>7</v>
      </c>
      <c r="E16" s="175" t="s">
        <v>7</v>
      </c>
    </row>
    <row r="17" spans="1:42" ht="29" customHeight="1">
      <c r="A17" s="177" t="s">
        <v>42</v>
      </c>
      <c r="B17" s="224" t="s">
        <v>60</v>
      </c>
      <c r="C17" s="160" t="s">
        <v>23</v>
      </c>
      <c r="D17" s="160" t="s">
        <v>13</v>
      </c>
      <c r="E17" s="160" t="s">
        <v>5</v>
      </c>
      <c r="F17" s="160" t="s">
        <v>49</v>
      </c>
      <c r="G17" s="177" t="s">
        <v>43</v>
      </c>
      <c r="H17" s="225" t="s">
        <v>61</v>
      </c>
      <c r="I17" s="252" t="s">
        <v>14</v>
      </c>
      <c r="J17" s="160" t="s">
        <v>15</v>
      </c>
      <c r="K17" s="249" t="s">
        <v>16</v>
      </c>
      <c r="L17" s="224" t="s">
        <v>22</v>
      </c>
      <c r="M17" s="177" t="s">
        <v>1</v>
      </c>
      <c r="N17" s="177" t="s">
        <v>145</v>
      </c>
      <c r="O17" s="245" t="s">
        <v>69</v>
      </c>
      <c r="P17" s="160" t="s">
        <v>70</v>
      </c>
      <c r="Q17" s="343" t="s">
        <v>368</v>
      </c>
      <c r="R17" s="177" t="s">
        <v>71</v>
      </c>
      <c r="S17" s="346" t="s">
        <v>367</v>
      </c>
      <c r="T17" s="224" t="s">
        <v>72</v>
      </c>
      <c r="U17" s="346" t="s">
        <v>322</v>
      </c>
      <c r="V17" s="160" t="s">
        <v>73</v>
      </c>
      <c r="W17" s="177" t="s">
        <v>74</v>
      </c>
      <c r="X17" s="346" t="s">
        <v>369</v>
      </c>
      <c r="Y17" s="160" t="s">
        <v>0</v>
      </c>
      <c r="Z17" s="160" t="s">
        <v>75</v>
      </c>
      <c r="AA17" s="160" t="s">
        <v>76</v>
      </c>
      <c r="AB17" s="160" t="s">
        <v>6</v>
      </c>
      <c r="AC17" s="160" t="s">
        <v>84</v>
      </c>
      <c r="AD17" s="160" t="s">
        <v>77</v>
      </c>
      <c r="AE17" s="160" t="s">
        <v>80</v>
      </c>
      <c r="AF17" s="160" t="s">
        <v>78</v>
      </c>
      <c r="AG17" s="343" t="s">
        <v>374</v>
      </c>
      <c r="AH17" s="273" t="s">
        <v>79</v>
      </c>
      <c r="AI17" s="273" t="s">
        <v>44</v>
      </c>
      <c r="AJ17" s="273" t="s">
        <v>25</v>
      </c>
      <c r="AK17" s="326" t="s">
        <v>134</v>
      </c>
      <c r="AL17" s="273" t="s">
        <v>146</v>
      </c>
      <c r="AM17" s="343" t="s">
        <v>375</v>
      </c>
      <c r="AN17" s="274" t="s">
        <v>296</v>
      </c>
    </row>
    <row r="18" spans="1:42">
      <c r="A18" s="247" t="s">
        <v>267</v>
      </c>
      <c r="B18" s="246" t="s">
        <v>266</v>
      </c>
      <c r="C18" s="232">
        <v>482</v>
      </c>
      <c r="D18" s="245" t="s">
        <v>270</v>
      </c>
      <c r="E18" s="226"/>
      <c r="F18" s="245" t="s">
        <v>268</v>
      </c>
      <c r="G18" s="224">
        <v>1</v>
      </c>
      <c r="H18" s="245" t="s">
        <v>269</v>
      </c>
      <c r="I18" s="299">
        <v>108</v>
      </c>
      <c r="J18" s="227">
        <v>18</v>
      </c>
      <c r="K18" s="250">
        <v>90</v>
      </c>
      <c r="L18" s="228"/>
      <c r="M18" s="227"/>
      <c r="N18" s="227"/>
      <c r="O18" s="280" t="s">
        <v>7</v>
      </c>
      <c r="P18" s="229"/>
      <c r="Q18" s="229"/>
      <c r="R18" s="227"/>
      <c r="S18" s="227"/>
      <c r="T18" s="228"/>
      <c r="U18" s="227"/>
      <c r="V18" s="229"/>
      <c r="W18" s="227"/>
      <c r="X18" s="227"/>
      <c r="Y18" s="229"/>
      <c r="Z18" s="229"/>
      <c r="AA18" s="229"/>
      <c r="AB18" s="229"/>
      <c r="AC18" s="229">
        <v>90</v>
      </c>
      <c r="AD18" s="229"/>
      <c r="AE18" s="229"/>
      <c r="AF18" s="229"/>
      <c r="AG18" s="229"/>
      <c r="AH18" s="229"/>
      <c r="AI18" s="229"/>
      <c r="AJ18" s="229"/>
      <c r="AK18" s="327"/>
      <c r="AL18" s="229"/>
      <c r="AM18" s="229"/>
      <c r="AN18" s="254"/>
      <c r="AP18" s="140" t="b">
        <f>K18=SUM(L18:AN18)</f>
        <v>1</v>
      </c>
    </row>
    <row r="19" spans="1:42" s="248" customFormat="1">
      <c r="A19" s="287" t="s">
        <v>277</v>
      </c>
      <c r="B19" s="337" t="s">
        <v>284</v>
      </c>
      <c r="C19" s="286" t="s">
        <v>277</v>
      </c>
      <c r="D19" s="273" t="s">
        <v>302</v>
      </c>
      <c r="E19" s="231"/>
      <c r="F19" s="269" t="s">
        <v>283</v>
      </c>
      <c r="G19" s="224">
        <v>2</v>
      </c>
      <c r="H19" s="273" t="s">
        <v>277</v>
      </c>
      <c r="I19" s="299">
        <v>626.46</v>
      </c>
      <c r="J19" s="227">
        <v>0</v>
      </c>
      <c r="K19" s="250">
        <f>I19</f>
        <v>626.46</v>
      </c>
      <c r="L19" s="227"/>
      <c r="M19" s="227"/>
      <c r="N19" s="227"/>
      <c r="P19" s="230"/>
      <c r="Q19" s="230"/>
      <c r="R19" s="227"/>
      <c r="S19" s="227"/>
      <c r="T19" s="227"/>
      <c r="U19" s="227"/>
      <c r="V19" s="227"/>
      <c r="W19" s="227"/>
      <c r="X19" s="227"/>
      <c r="Y19" s="227">
        <f>K19</f>
        <v>626.46</v>
      </c>
      <c r="Z19" s="227"/>
      <c r="AA19" s="227"/>
      <c r="AB19" s="227"/>
      <c r="AC19" s="227"/>
      <c r="AD19" s="227"/>
      <c r="AF19" s="227"/>
      <c r="AG19" s="227"/>
      <c r="AH19" s="227"/>
      <c r="AI19" s="227"/>
      <c r="AJ19" s="227"/>
      <c r="AK19" s="328"/>
      <c r="AL19" s="227"/>
      <c r="AM19" s="227"/>
      <c r="AN19" s="255"/>
      <c r="AO19" s="140"/>
      <c r="AP19" s="140" t="b">
        <f t="shared" ref="AP19:AP79" si="1">K19=SUM(L19:AN19)</f>
        <v>1</v>
      </c>
    </row>
    <row r="20" spans="1:42" s="248" customFormat="1" ht="15" customHeight="1">
      <c r="A20" s="287" t="s">
        <v>277</v>
      </c>
      <c r="B20" s="270" t="s">
        <v>284</v>
      </c>
      <c r="C20" s="286" t="s">
        <v>277</v>
      </c>
      <c r="D20" s="281" t="s">
        <v>298</v>
      </c>
      <c r="E20" s="231"/>
      <c r="F20" s="269" t="s">
        <v>276</v>
      </c>
      <c r="G20" s="224">
        <v>3</v>
      </c>
      <c r="H20" s="273" t="s">
        <v>277</v>
      </c>
      <c r="I20" s="299">
        <v>1037.7</v>
      </c>
      <c r="J20" s="227"/>
      <c r="K20" s="250">
        <f>I20</f>
        <v>1037.7</v>
      </c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>
        <f>75.3</f>
        <v>75.3</v>
      </c>
      <c r="AE20" s="227"/>
      <c r="AF20" s="227"/>
      <c r="AG20" s="227"/>
      <c r="AH20" s="227">
        <v>962.4</v>
      </c>
      <c r="AI20" s="227"/>
      <c r="AJ20" s="227"/>
      <c r="AK20" s="328"/>
      <c r="AL20" s="227"/>
      <c r="AM20" s="227"/>
      <c r="AN20" s="255"/>
      <c r="AO20" s="140"/>
      <c r="AP20" s="140" t="b">
        <f t="shared" si="1"/>
        <v>1</v>
      </c>
    </row>
    <row r="21" spans="1:42" s="248" customFormat="1" ht="15" customHeight="1">
      <c r="A21" s="272" t="s">
        <v>278</v>
      </c>
      <c r="B21" s="270" t="s">
        <v>284</v>
      </c>
      <c r="C21" s="232">
        <v>23700581</v>
      </c>
      <c r="D21" s="281" t="s">
        <v>299</v>
      </c>
      <c r="E21" s="231"/>
      <c r="F21" s="269" t="s">
        <v>281</v>
      </c>
      <c r="G21" s="224">
        <v>4</v>
      </c>
      <c r="H21" s="245" t="s">
        <v>303</v>
      </c>
      <c r="I21" s="299">
        <v>270</v>
      </c>
      <c r="J21" s="227">
        <f>K21*20%</f>
        <v>45</v>
      </c>
      <c r="K21" s="250">
        <f>I21/1.2</f>
        <v>225</v>
      </c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X21" s="227"/>
      <c r="Y21" s="227"/>
      <c r="Z21" s="227"/>
      <c r="AA21" s="227"/>
      <c r="AB21" s="227">
        <f>K21</f>
        <v>225</v>
      </c>
      <c r="AC21" s="227"/>
      <c r="AD21" s="227"/>
      <c r="AE21" s="227"/>
      <c r="AF21" s="227"/>
      <c r="AG21" s="227"/>
      <c r="AH21" s="227"/>
      <c r="AI21" s="227"/>
      <c r="AJ21" s="227"/>
      <c r="AK21" s="328"/>
      <c r="AL21" s="227"/>
      <c r="AM21" s="227"/>
      <c r="AN21" s="255"/>
      <c r="AO21" s="140"/>
      <c r="AP21" s="140" t="b">
        <f t="shared" si="1"/>
        <v>1</v>
      </c>
    </row>
    <row r="22" spans="1:42" s="248" customFormat="1" ht="15" customHeight="1">
      <c r="A22" s="272" t="s">
        <v>306</v>
      </c>
      <c r="B22" s="270" t="s">
        <v>284</v>
      </c>
      <c r="C22" s="232" t="s">
        <v>236</v>
      </c>
      <c r="D22" s="281" t="s">
        <v>300</v>
      </c>
      <c r="E22" s="231"/>
      <c r="F22" s="269" t="s">
        <v>280</v>
      </c>
      <c r="G22" s="224">
        <v>5</v>
      </c>
      <c r="H22" s="273" t="s">
        <v>277</v>
      </c>
      <c r="I22" s="299">
        <v>252.31</v>
      </c>
      <c r="J22" s="227">
        <v>0</v>
      </c>
      <c r="K22" s="250">
        <f>I22</f>
        <v>252.31</v>
      </c>
      <c r="L22" s="227"/>
      <c r="M22" s="227">
        <f>K22</f>
        <v>252.31</v>
      </c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328"/>
      <c r="AL22" s="227"/>
      <c r="AM22" s="227"/>
      <c r="AN22" s="255"/>
      <c r="AO22" s="140"/>
      <c r="AP22" s="140" t="b">
        <f t="shared" si="1"/>
        <v>1</v>
      </c>
    </row>
    <row r="23" spans="1:42" s="248" customFormat="1" ht="15" customHeight="1">
      <c r="A23" s="272" t="s">
        <v>279</v>
      </c>
      <c r="B23" s="225"/>
      <c r="C23" s="232">
        <v>13247</v>
      </c>
      <c r="D23" s="281" t="s">
        <v>301</v>
      </c>
      <c r="E23" s="231"/>
      <c r="F23" s="272" t="s">
        <v>304</v>
      </c>
      <c r="G23" s="224">
        <v>6</v>
      </c>
      <c r="H23" s="245" t="s">
        <v>305</v>
      </c>
      <c r="I23" s="299">
        <v>275.3</v>
      </c>
      <c r="J23" s="227">
        <f>K23*20%</f>
        <v>45.88333333333334</v>
      </c>
      <c r="K23" s="250">
        <f>I23/1.2</f>
        <v>229.41666666666669</v>
      </c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328">
        <f>K23</f>
        <v>229.41666666666669</v>
      </c>
      <c r="AL23" s="227"/>
      <c r="AM23" s="227"/>
      <c r="AN23" s="255"/>
      <c r="AO23" s="140"/>
      <c r="AP23" s="140" t="b">
        <f t="shared" si="1"/>
        <v>1</v>
      </c>
    </row>
    <row r="24" spans="1:42" s="321" customFormat="1" ht="15" customHeight="1">
      <c r="A24" s="311" t="s">
        <v>306</v>
      </c>
      <c r="B24" s="312"/>
      <c r="C24" s="313" t="s">
        <v>236</v>
      </c>
      <c r="D24" s="314" t="s">
        <v>329</v>
      </c>
      <c r="E24" s="311"/>
      <c r="F24" s="311" t="s">
        <v>282</v>
      </c>
      <c r="G24" s="315">
        <v>7</v>
      </c>
      <c r="H24" s="316" t="s">
        <v>277</v>
      </c>
      <c r="I24" s="317">
        <f>308.55-I22</f>
        <v>56.240000000000009</v>
      </c>
      <c r="J24" s="318">
        <v>0</v>
      </c>
      <c r="K24" s="319">
        <f>I24</f>
        <v>56.240000000000009</v>
      </c>
      <c r="L24" s="318"/>
      <c r="M24" s="318">
        <f>K24</f>
        <v>56.240000000000009</v>
      </c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29"/>
      <c r="AL24" s="318"/>
      <c r="AM24" s="318"/>
      <c r="AN24" s="320"/>
      <c r="AO24" s="140"/>
      <c r="AP24" s="140" t="b">
        <f t="shared" si="1"/>
        <v>1</v>
      </c>
    </row>
    <row r="25" spans="1:42">
      <c r="A25" s="273" t="s">
        <v>293</v>
      </c>
      <c r="B25" s="225"/>
      <c r="C25" s="232">
        <v>28504</v>
      </c>
      <c r="D25" s="273" t="s">
        <v>292</v>
      </c>
      <c r="E25" s="273" t="s">
        <v>277</v>
      </c>
      <c r="F25" s="272" t="s">
        <v>289</v>
      </c>
      <c r="G25" s="224">
        <v>8</v>
      </c>
      <c r="H25" s="245" t="s">
        <v>277</v>
      </c>
      <c r="I25" s="299">
        <v>327.91</v>
      </c>
      <c r="J25" s="227">
        <v>0</v>
      </c>
      <c r="K25" s="251">
        <f>I25</f>
        <v>327.91</v>
      </c>
      <c r="L25" s="229"/>
      <c r="M25" s="227"/>
      <c r="N25" s="227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29"/>
      <c r="AH25" s="229"/>
      <c r="AI25" s="229"/>
      <c r="AJ25" s="229">
        <v>327.91</v>
      </c>
      <c r="AK25" s="327"/>
      <c r="AL25" s="229"/>
      <c r="AM25" s="229"/>
      <c r="AN25" s="254"/>
      <c r="AP25" s="140" t="b">
        <f t="shared" si="1"/>
        <v>1</v>
      </c>
    </row>
    <row r="26" spans="1:42" s="248" customFormat="1">
      <c r="A26" s="272" t="s">
        <v>294</v>
      </c>
      <c r="B26" s="225"/>
      <c r="C26" s="232" t="s">
        <v>295</v>
      </c>
      <c r="D26" s="273" t="s">
        <v>291</v>
      </c>
      <c r="E26" s="272" t="s">
        <v>277</v>
      </c>
      <c r="F26" s="272" t="s">
        <v>290</v>
      </c>
      <c r="G26" s="224">
        <v>9</v>
      </c>
      <c r="H26" s="245" t="s">
        <v>277</v>
      </c>
      <c r="I26" s="299">
        <v>120</v>
      </c>
      <c r="J26" s="227">
        <v>0</v>
      </c>
      <c r="K26" s="250">
        <f>I26</f>
        <v>120</v>
      </c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328"/>
      <c r="AL26" s="227"/>
      <c r="AM26" s="227"/>
      <c r="AN26" s="255">
        <f>120</f>
        <v>120</v>
      </c>
      <c r="AO26" s="140"/>
      <c r="AP26" s="140" t="b">
        <f t="shared" si="1"/>
        <v>1</v>
      </c>
    </row>
    <row r="27" spans="1:42" s="248" customFormat="1" ht="31">
      <c r="A27" s="288"/>
      <c r="B27" s="340" t="s">
        <v>326</v>
      </c>
      <c r="C27" s="139">
        <v>110616</v>
      </c>
      <c r="D27" s="289" t="s">
        <v>307</v>
      </c>
      <c r="E27" s="290"/>
      <c r="F27" s="339" t="s">
        <v>325</v>
      </c>
      <c r="G27" s="291">
        <v>10</v>
      </c>
      <c r="H27" s="245"/>
      <c r="I27" s="298">
        <v>226.49</v>
      </c>
      <c r="J27" s="292">
        <v>26.33</v>
      </c>
      <c r="K27" s="293">
        <f>I27-26.33</f>
        <v>200.16000000000003</v>
      </c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>
        <v>14.5</v>
      </c>
      <c r="W27" s="292"/>
      <c r="X27" s="292"/>
      <c r="Y27" s="292"/>
      <c r="Z27" s="292">
        <v>131.66999999999999</v>
      </c>
      <c r="AA27" s="292"/>
      <c r="AB27" s="292"/>
      <c r="AC27" s="292"/>
      <c r="AD27" s="292"/>
      <c r="AE27" s="292"/>
      <c r="AF27" s="292"/>
      <c r="AG27" s="292"/>
      <c r="AH27" s="292"/>
      <c r="AI27" s="292">
        <v>53.99</v>
      </c>
      <c r="AJ27" s="292"/>
      <c r="AK27" s="330"/>
      <c r="AL27" s="292"/>
      <c r="AM27" s="292"/>
      <c r="AN27" s="294"/>
      <c r="AO27" s="140"/>
      <c r="AP27" s="140" t="b">
        <f>K27=SUM(L27:AN27)</f>
        <v>1</v>
      </c>
    </row>
    <row r="28" spans="1:42" s="310" customFormat="1" ht="15" customHeight="1">
      <c r="A28" s="302" t="s">
        <v>311</v>
      </c>
      <c r="C28" s="303">
        <v>61797</v>
      </c>
      <c r="D28" s="304" t="s">
        <v>324</v>
      </c>
      <c r="E28" s="305"/>
      <c r="F28" s="302" t="s">
        <v>310</v>
      </c>
      <c r="G28" s="306">
        <v>11</v>
      </c>
      <c r="H28" s="303">
        <v>759653577</v>
      </c>
      <c r="I28" s="307">
        <v>232</v>
      </c>
      <c r="J28" s="305">
        <v>0</v>
      </c>
      <c r="K28" s="308">
        <f t="shared" ref="K28:K33" si="2">I28</f>
        <v>232</v>
      </c>
      <c r="L28" s="305"/>
      <c r="M28" s="305"/>
      <c r="N28" s="305"/>
      <c r="O28" s="305"/>
      <c r="P28" s="305">
        <f>K28</f>
        <v>232</v>
      </c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29"/>
      <c r="AL28" s="305"/>
      <c r="AM28" s="305"/>
      <c r="AN28" s="309"/>
      <c r="AO28" s="140"/>
      <c r="AP28" s="140" t="b">
        <f t="shared" si="1"/>
        <v>1</v>
      </c>
    </row>
    <row r="29" spans="1:42" s="310" customFormat="1" ht="15" customHeight="1">
      <c r="A29" s="302" t="s">
        <v>312</v>
      </c>
      <c r="B29" s="303"/>
      <c r="C29" s="303">
        <v>61185</v>
      </c>
      <c r="D29" s="304" t="s">
        <v>323</v>
      </c>
      <c r="E29" s="305"/>
      <c r="F29" s="302" t="s">
        <v>310</v>
      </c>
      <c r="G29" s="306">
        <v>12</v>
      </c>
      <c r="H29" s="303">
        <v>759653577</v>
      </c>
      <c r="I29" s="307">
        <v>232</v>
      </c>
      <c r="J29" s="305">
        <v>0</v>
      </c>
      <c r="K29" s="305">
        <f t="shared" si="2"/>
        <v>232</v>
      </c>
      <c r="L29" s="305"/>
      <c r="M29" s="305"/>
      <c r="N29" s="305"/>
      <c r="O29" s="305"/>
      <c r="P29" s="305">
        <f>K29</f>
        <v>232</v>
      </c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29"/>
      <c r="AL29" s="305"/>
      <c r="AM29" s="305"/>
      <c r="AN29" s="309"/>
      <c r="AO29" s="140"/>
      <c r="AP29" s="140" t="b">
        <f t="shared" si="1"/>
        <v>1</v>
      </c>
    </row>
    <row r="30" spans="1:42" s="310" customFormat="1" ht="15" customHeight="1">
      <c r="A30" s="302" t="s">
        <v>277</v>
      </c>
      <c r="B30" s="303" t="s">
        <v>326</v>
      </c>
      <c r="C30" s="303" t="s">
        <v>277</v>
      </c>
      <c r="D30" s="304" t="s">
        <v>331</v>
      </c>
      <c r="E30" s="305"/>
      <c r="F30" s="302" t="s">
        <v>273</v>
      </c>
      <c r="G30" s="306">
        <v>13</v>
      </c>
      <c r="H30" s="303"/>
      <c r="I30" s="307">
        <v>104.6</v>
      </c>
      <c r="J30" s="305">
        <v>0</v>
      </c>
      <c r="K30" s="305">
        <f t="shared" si="2"/>
        <v>104.6</v>
      </c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>
        <f>K30</f>
        <v>104.6</v>
      </c>
      <c r="AI30" s="305"/>
      <c r="AJ30" s="305"/>
      <c r="AK30" s="329"/>
      <c r="AL30" s="305"/>
      <c r="AM30" s="305"/>
      <c r="AN30" s="309"/>
      <c r="AO30" s="140"/>
      <c r="AP30" s="140" t="b">
        <f t="shared" si="1"/>
        <v>1</v>
      </c>
    </row>
    <row r="31" spans="1:42" s="310" customFormat="1" ht="15" customHeight="1">
      <c r="A31" s="302" t="s">
        <v>277</v>
      </c>
      <c r="B31" s="303" t="s">
        <v>326</v>
      </c>
      <c r="C31" s="303" t="s">
        <v>277</v>
      </c>
      <c r="D31" s="304" t="s">
        <v>330</v>
      </c>
      <c r="E31" s="305"/>
      <c r="F31" s="302" t="s">
        <v>276</v>
      </c>
      <c r="G31" s="306">
        <v>14</v>
      </c>
      <c r="H31" s="303"/>
      <c r="I31" s="307">
        <v>1260.92</v>
      </c>
      <c r="J31" s="305">
        <v>0</v>
      </c>
      <c r="K31" s="305">
        <f t="shared" si="2"/>
        <v>1260.92</v>
      </c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>
        <v>29.16</v>
      </c>
      <c r="AC31" s="305"/>
      <c r="AD31" s="305">
        <v>48</v>
      </c>
      <c r="AE31" s="305"/>
      <c r="AF31" s="305"/>
      <c r="AG31" s="305"/>
      <c r="AH31" s="305">
        <f>1283.2-104.6</f>
        <v>1178.6000000000001</v>
      </c>
      <c r="AI31" s="305">
        <v>5.16</v>
      </c>
      <c r="AJ31" s="305"/>
      <c r="AK31" s="329"/>
      <c r="AL31" s="305"/>
      <c r="AM31" s="305"/>
      <c r="AN31" s="309"/>
      <c r="AO31" s="140"/>
      <c r="AP31" s="140" t="b">
        <f t="shared" si="1"/>
        <v>1</v>
      </c>
    </row>
    <row r="32" spans="1:42" s="310" customFormat="1" ht="15" customHeight="1">
      <c r="A32" s="302" t="s">
        <v>308</v>
      </c>
      <c r="B32" s="303" t="s">
        <v>326</v>
      </c>
      <c r="C32" s="303">
        <v>702</v>
      </c>
      <c r="D32" s="304" t="s">
        <v>332</v>
      </c>
      <c r="E32" s="305"/>
      <c r="F32" s="302" t="s">
        <v>309</v>
      </c>
      <c r="G32" s="306">
        <v>15</v>
      </c>
      <c r="H32" s="303"/>
      <c r="I32" s="307">
        <v>760</v>
      </c>
      <c r="J32" s="305">
        <v>0</v>
      </c>
      <c r="K32" s="305">
        <f t="shared" si="2"/>
        <v>760</v>
      </c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>
        <f>K32</f>
        <v>760</v>
      </c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29"/>
      <c r="AL32" s="305"/>
      <c r="AM32" s="305"/>
      <c r="AN32" s="309"/>
      <c r="AO32" s="140"/>
      <c r="AP32" s="140" t="b">
        <f t="shared" si="1"/>
        <v>1</v>
      </c>
    </row>
    <row r="33" spans="1:42" s="310" customFormat="1" ht="15" customHeight="1">
      <c r="A33" s="302" t="s">
        <v>277</v>
      </c>
      <c r="B33" s="303" t="s">
        <v>328</v>
      </c>
      <c r="C33" s="303" t="s">
        <v>277</v>
      </c>
      <c r="D33" s="304" t="s">
        <v>333</v>
      </c>
      <c r="E33" s="305"/>
      <c r="F33" s="302" t="s">
        <v>327</v>
      </c>
      <c r="G33" s="306">
        <v>16</v>
      </c>
      <c r="H33" s="303"/>
      <c r="I33" s="307">
        <v>35</v>
      </c>
      <c r="J33" s="305">
        <v>0</v>
      </c>
      <c r="K33" s="305">
        <f t="shared" si="2"/>
        <v>35</v>
      </c>
      <c r="L33" s="305"/>
      <c r="M33" s="305"/>
      <c r="N33" s="305"/>
      <c r="O33" s="305"/>
      <c r="P33" s="305"/>
      <c r="Q33" s="305"/>
      <c r="R33" s="305">
        <f>K33</f>
        <v>35</v>
      </c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29"/>
      <c r="AL33" s="305"/>
      <c r="AM33" s="305"/>
      <c r="AN33" s="309"/>
      <c r="AO33" s="140"/>
      <c r="AP33" s="140" t="b">
        <f t="shared" si="1"/>
        <v>1</v>
      </c>
    </row>
    <row r="34" spans="1:42" s="310" customFormat="1" ht="15" customHeight="1">
      <c r="A34" s="302"/>
      <c r="B34" s="303"/>
      <c r="C34" s="303"/>
      <c r="D34" s="304"/>
      <c r="E34" s="305"/>
      <c r="F34" s="302"/>
      <c r="G34" s="306"/>
      <c r="H34" s="303"/>
      <c r="I34" s="307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29"/>
      <c r="AL34" s="305"/>
      <c r="AM34" s="305"/>
      <c r="AN34" s="309"/>
      <c r="AO34" s="140"/>
      <c r="AP34" s="140" t="b">
        <f t="shared" si="1"/>
        <v>1</v>
      </c>
    </row>
    <row r="35" spans="1:42" s="310" customFormat="1" ht="15" customHeight="1">
      <c r="A35" s="342">
        <v>45538</v>
      </c>
      <c r="B35" s="342">
        <v>45546</v>
      </c>
      <c r="C35" s="303"/>
      <c r="D35" s="304" t="s">
        <v>335</v>
      </c>
      <c r="E35" s="305"/>
      <c r="F35" s="302" t="s">
        <v>336</v>
      </c>
      <c r="G35" s="306">
        <v>17</v>
      </c>
      <c r="H35" s="303"/>
      <c r="I35" s="307">
        <v>150</v>
      </c>
      <c r="J35" s="305"/>
      <c r="K35" s="305">
        <v>150</v>
      </c>
      <c r="L35" s="305"/>
      <c r="M35" s="305"/>
      <c r="N35" s="305"/>
      <c r="O35" s="305"/>
      <c r="P35" s="305"/>
      <c r="Q35" s="305"/>
      <c r="R35" s="305"/>
      <c r="S35" s="305">
        <v>150</v>
      </c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29"/>
      <c r="AL35" s="305"/>
      <c r="AM35" s="305"/>
      <c r="AN35" s="309"/>
      <c r="AO35" s="140"/>
      <c r="AP35" s="140" t="b">
        <f t="shared" si="1"/>
        <v>1</v>
      </c>
    </row>
    <row r="36" spans="1:42" s="310" customFormat="1" ht="15" customHeight="1">
      <c r="A36" s="342">
        <v>45538</v>
      </c>
      <c r="B36" s="342">
        <v>45546</v>
      </c>
      <c r="C36" s="303"/>
      <c r="D36" s="304" t="s">
        <v>337</v>
      </c>
      <c r="E36" s="305"/>
      <c r="F36" s="302" t="s">
        <v>338</v>
      </c>
      <c r="G36" s="306">
        <v>18</v>
      </c>
      <c r="H36" s="303"/>
      <c r="I36" s="307">
        <v>100</v>
      </c>
      <c r="J36" s="305"/>
      <c r="K36" s="305">
        <v>100</v>
      </c>
      <c r="L36" s="305"/>
      <c r="M36" s="305"/>
      <c r="N36" s="305"/>
      <c r="O36" s="305"/>
      <c r="P36" s="305"/>
      <c r="Q36" s="305"/>
      <c r="R36" s="305"/>
      <c r="S36" s="305">
        <v>100</v>
      </c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29"/>
      <c r="AL36" s="305"/>
      <c r="AM36" s="305"/>
      <c r="AN36" s="309"/>
      <c r="AO36" s="140"/>
      <c r="AP36" s="140" t="b">
        <f t="shared" si="1"/>
        <v>1</v>
      </c>
    </row>
    <row r="37" spans="1:42" s="310" customFormat="1" ht="15" customHeight="1">
      <c r="A37" s="342">
        <v>45538</v>
      </c>
      <c r="B37" s="342">
        <v>45546</v>
      </c>
      <c r="C37" s="303"/>
      <c r="D37" s="304" t="s">
        <v>339</v>
      </c>
      <c r="E37" s="305"/>
      <c r="F37" s="302" t="s">
        <v>340</v>
      </c>
      <c r="G37" s="306">
        <v>19</v>
      </c>
      <c r="H37" s="303"/>
      <c r="I37" s="307">
        <v>451.2</v>
      </c>
      <c r="J37" s="305"/>
      <c r="K37" s="305">
        <v>451.2</v>
      </c>
      <c r="L37" s="305"/>
      <c r="M37" s="305"/>
      <c r="N37" s="305"/>
      <c r="O37" s="305"/>
      <c r="P37" s="305"/>
      <c r="Q37" s="305">
        <v>451.2</v>
      </c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29"/>
      <c r="AL37" s="305"/>
      <c r="AM37" s="305"/>
      <c r="AN37" s="309"/>
      <c r="AO37" s="140"/>
      <c r="AP37" s="140" t="b">
        <f t="shared" si="1"/>
        <v>1</v>
      </c>
    </row>
    <row r="38" spans="1:42" s="310" customFormat="1" ht="15" customHeight="1">
      <c r="A38" s="342">
        <v>45538</v>
      </c>
      <c r="B38" s="342">
        <v>45546</v>
      </c>
      <c r="C38" s="303"/>
      <c r="D38" s="304" t="s">
        <v>341</v>
      </c>
      <c r="E38" s="305"/>
      <c r="F38" s="302" t="s">
        <v>342</v>
      </c>
      <c r="G38" s="306">
        <v>20</v>
      </c>
      <c r="H38" s="303"/>
      <c r="I38" s="307">
        <v>1567.98</v>
      </c>
      <c r="J38" s="305"/>
      <c r="K38" s="305">
        <v>1567.98</v>
      </c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>
        <v>1567.98</v>
      </c>
      <c r="AI38" s="305"/>
      <c r="AJ38" s="305"/>
      <c r="AK38" s="329"/>
      <c r="AL38" s="305"/>
      <c r="AM38" s="305"/>
      <c r="AN38" s="309"/>
      <c r="AO38" s="140"/>
      <c r="AP38" s="140" t="b">
        <f t="shared" si="1"/>
        <v>1</v>
      </c>
    </row>
    <row r="39" spans="1:42" s="310" customFormat="1" ht="15" customHeight="1">
      <c r="A39" s="342">
        <v>45475</v>
      </c>
      <c r="B39" s="342">
        <v>45548</v>
      </c>
      <c r="C39" s="303"/>
      <c r="D39" s="304" t="s">
        <v>343</v>
      </c>
      <c r="E39" s="305"/>
      <c r="F39" s="302" t="s">
        <v>344</v>
      </c>
      <c r="G39" s="306">
        <v>21</v>
      </c>
      <c r="H39" s="303"/>
      <c r="I39" s="307">
        <v>1000</v>
      </c>
      <c r="J39" s="305"/>
      <c r="K39" s="305">
        <v>1000</v>
      </c>
      <c r="L39" s="305"/>
      <c r="M39" s="305"/>
      <c r="N39" s="305"/>
      <c r="O39" s="305"/>
      <c r="P39" s="305"/>
      <c r="Q39" s="305"/>
      <c r="R39" s="305"/>
      <c r="S39" s="305">
        <v>1000</v>
      </c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29"/>
      <c r="AL39" s="305"/>
      <c r="AM39" s="305"/>
      <c r="AN39" s="309"/>
      <c r="AO39" s="140"/>
      <c r="AP39" s="140" t="b">
        <f t="shared" si="1"/>
        <v>1</v>
      </c>
    </row>
    <row r="40" spans="1:42" s="310" customFormat="1" ht="15" customHeight="1">
      <c r="A40" s="342"/>
      <c r="B40" s="342">
        <v>45596</v>
      </c>
      <c r="C40" s="303"/>
      <c r="D40" s="304" t="s">
        <v>362</v>
      </c>
      <c r="E40" s="305"/>
      <c r="F40" s="302" t="s">
        <v>349</v>
      </c>
      <c r="G40" s="306">
        <v>22</v>
      </c>
      <c r="H40" s="303"/>
      <c r="I40" s="307">
        <v>45</v>
      </c>
      <c r="J40" s="305"/>
      <c r="K40" s="305">
        <v>45</v>
      </c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>
        <v>45</v>
      </c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29"/>
      <c r="AL40" s="305"/>
      <c r="AM40" s="305"/>
      <c r="AN40" s="309"/>
      <c r="AO40" s="140"/>
      <c r="AP40" s="140" t="b">
        <f t="shared" si="1"/>
        <v>1</v>
      </c>
    </row>
    <row r="41" spans="1:42" s="310" customFormat="1" ht="15" customHeight="1">
      <c r="A41" s="342"/>
      <c r="B41" s="342"/>
      <c r="C41" s="303"/>
      <c r="D41" s="304"/>
      <c r="E41" s="305"/>
      <c r="F41" s="302"/>
      <c r="G41" s="306"/>
      <c r="H41" s="303"/>
      <c r="I41" s="307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29"/>
      <c r="AL41" s="305"/>
      <c r="AM41" s="305"/>
      <c r="AN41" s="309"/>
      <c r="AO41" s="140"/>
      <c r="AP41" s="140" t="b">
        <f t="shared" si="1"/>
        <v>1</v>
      </c>
    </row>
    <row r="42" spans="1:42" s="310" customFormat="1" ht="15" customHeight="1">
      <c r="A42" s="342">
        <v>45600</v>
      </c>
      <c r="B42" s="342">
        <v>45607</v>
      </c>
      <c r="C42" s="303"/>
      <c r="D42" s="304" t="s">
        <v>350</v>
      </c>
      <c r="E42" s="305"/>
      <c r="F42" s="302" t="s">
        <v>351</v>
      </c>
      <c r="G42" s="306">
        <v>23</v>
      </c>
      <c r="H42" s="303"/>
      <c r="I42" s="307">
        <v>448.03</v>
      </c>
      <c r="J42" s="305">
        <v>74.67</v>
      </c>
      <c r="K42" s="305">
        <v>373.36</v>
      </c>
      <c r="L42" s="305"/>
      <c r="M42" s="305"/>
      <c r="N42" s="305"/>
      <c r="O42" s="305"/>
      <c r="P42" s="305"/>
      <c r="Q42" s="305"/>
      <c r="R42" s="305"/>
      <c r="S42" s="305"/>
      <c r="T42" s="305"/>
      <c r="U42" s="305">
        <v>373.36</v>
      </c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29"/>
      <c r="AL42" s="305"/>
      <c r="AM42" s="305"/>
      <c r="AN42" s="309"/>
      <c r="AO42" s="140"/>
      <c r="AP42" s="140" t="b">
        <f t="shared" si="1"/>
        <v>1</v>
      </c>
    </row>
    <row r="43" spans="1:42" s="310" customFormat="1" ht="15" customHeight="1">
      <c r="A43" s="342">
        <v>45600</v>
      </c>
      <c r="B43" s="342">
        <v>45607</v>
      </c>
      <c r="C43" s="303"/>
      <c r="D43" s="304" t="s">
        <v>352</v>
      </c>
      <c r="E43" s="305"/>
      <c r="F43" s="302" t="s">
        <v>353</v>
      </c>
      <c r="G43" s="306">
        <v>24</v>
      </c>
      <c r="H43" s="303"/>
      <c r="I43" s="307">
        <v>464</v>
      </c>
      <c r="J43" s="305"/>
      <c r="K43" s="305">
        <v>464</v>
      </c>
      <c r="L43" s="305"/>
      <c r="M43" s="305"/>
      <c r="N43" s="305"/>
      <c r="O43" s="305"/>
      <c r="P43" s="305">
        <v>464</v>
      </c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29"/>
      <c r="AL43" s="305"/>
      <c r="AM43" s="305"/>
      <c r="AN43" s="309"/>
      <c r="AO43" s="140"/>
      <c r="AP43" s="140" t="b">
        <f t="shared" si="1"/>
        <v>1</v>
      </c>
    </row>
    <row r="44" spans="1:42" s="310" customFormat="1" ht="15" customHeight="1">
      <c r="A44" s="342">
        <v>45600</v>
      </c>
      <c r="B44" s="342">
        <v>45607</v>
      </c>
      <c r="C44" s="303"/>
      <c r="D44" s="304" t="s">
        <v>354</v>
      </c>
      <c r="E44" s="305"/>
      <c r="F44" s="302" t="s">
        <v>355</v>
      </c>
      <c r="G44" s="306">
        <v>25</v>
      </c>
      <c r="H44" s="303"/>
      <c r="I44" s="307">
        <v>228.34</v>
      </c>
      <c r="J44" s="305"/>
      <c r="K44" s="305">
        <v>228.34</v>
      </c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>
        <v>228.34</v>
      </c>
      <c r="AH44" s="305"/>
      <c r="AI44" s="305"/>
      <c r="AJ44" s="305"/>
      <c r="AK44" s="329"/>
      <c r="AL44" s="305"/>
      <c r="AM44" s="305"/>
      <c r="AN44" s="309"/>
      <c r="AO44" s="140"/>
      <c r="AP44" s="140" t="b">
        <f t="shared" si="1"/>
        <v>1</v>
      </c>
    </row>
    <row r="45" spans="1:42" s="310" customFormat="1" ht="15" customHeight="1">
      <c r="A45" s="342">
        <v>45600</v>
      </c>
      <c r="B45" s="342">
        <v>45607</v>
      </c>
      <c r="C45" s="303"/>
      <c r="D45" s="304" t="s">
        <v>356</v>
      </c>
      <c r="E45" s="305"/>
      <c r="F45" s="302" t="s">
        <v>355</v>
      </c>
      <c r="G45" s="306">
        <v>26</v>
      </c>
      <c r="H45" s="303"/>
      <c r="I45" s="307">
        <v>396.1</v>
      </c>
      <c r="J45" s="305"/>
      <c r="K45" s="305">
        <v>396.1</v>
      </c>
      <c r="L45" s="305"/>
      <c r="M45" s="305"/>
      <c r="N45" s="305"/>
      <c r="O45" s="305"/>
      <c r="P45" s="305"/>
      <c r="Q45" s="305"/>
      <c r="R45" s="305"/>
      <c r="S45" s="305"/>
      <c r="T45" s="305">
        <v>396.1</v>
      </c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29"/>
      <c r="AL45" s="305"/>
      <c r="AM45" s="305"/>
      <c r="AN45" s="309"/>
      <c r="AO45" s="140"/>
      <c r="AP45" s="140" t="b">
        <f t="shared" si="1"/>
        <v>1</v>
      </c>
    </row>
    <row r="46" spans="1:42" s="310" customFormat="1" ht="15" customHeight="1">
      <c r="A46" s="342">
        <v>45600</v>
      </c>
      <c r="B46" s="342">
        <v>45607</v>
      </c>
      <c r="C46" s="303"/>
      <c r="D46" s="304" t="s">
        <v>357</v>
      </c>
      <c r="E46" s="305"/>
      <c r="F46" s="302" t="s">
        <v>359</v>
      </c>
      <c r="G46" s="306">
        <v>27</v>
      </c>
      <c r="H46" s="303"/>
      <c r="I46" s="307">
        <v>538.98</v>
      </c>
      <c r="J46" s="305"/>
      <c r="K46" s="305">
        <v>538.98</v>
      </c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>
        <v>538.98</v>
      </c>
      <c r="AE46" s="305"/>
      <c r="AF46" s="305"/>
      <c r="AG46" s="305"/>
      <c r="AH46" s="305"/>
      <c r="AI46" s="305"/>
      <c r="AJ46" s="305"/>
      <c r="AK46" s="329"/>
      <c r="AL46" s="305"/>
      <c r="AM46" s="305"/>
      <c r="AN46" s="309"/>
      <c r="AO46" s="140"/>
      <c r="AP46" s="140" t="b">
        <f t="shared" si="1"/>
        <v>1</v>
      </c>
    </row>
    <row r="47" spans="1:42" s="310" customFormat="1" ht="15" customHeight="1">
      <c r="A47" s="342">
        <v>45600</v>
      </c>
      <c r="B47" s="342">
        <v>45607</v>
      </c>
      <c r="C47" s="303"/>
      <c r="D47" s="304" t="s">
        <v>360</v>
      </c>
      <c r="E47" s="305"/>
      <c r="F47" s="302" t="s">
        <v>358</v>
      </c>
      <c r="G47" s="306">
        <v>28</v>
      </c>
      <c r="H47" s="303"/>
      <c r="I47" s="307">
        <v>442.68</v>
      </c>
      <c r="J47" s="305"/>
      <c r="K47" s="305">
        <v>442.68</v>
      </c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>
        <v>442.68</v>
      </c>
      <c r="AI47" s="305"/>
      <c r="AJ47" s="305"/>
      <c r="AK47" s="329"/>
      <c r="AL47" s="305"/>
      <c r="AM47" s="305"/>
      <c r="AN47" s="309"/>
      <c r="AO47" s="140"/>
      <c r="AP47" s="140" t="b">
        <f t="shared" si="1"/>
        <v>1</v>
      </c>
    </row>
    <row r="48" spans="1:42" s="310" customFormat="1" ht="15" customHeight="1">
      <c r="A48" s="342">
        <v>45600</v>
      </c>
      <c r="B48" s="342">
        <v>45607</v>
      </c>
      <c r="C48" s="303"/>
      <c r="D48" s="304" t="s">
        <v>361</v>
      </c>
      <c r="E48" s="305"/>
      <c r="F48" s="302" t="s">
        <v>276</v>
      </c>
      <c r="G48" s="306">
        <v>29</v>
      </c>
      <c r="H48" s="303"/>
      <c r="I48" s="307">
        <v>141.12</v>
      </c>
      <c r="J48" s="305"/>
      <c r="K48" s="305">
        <v>141.12</v>
      </c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>
        <v>141.12</v>
      </c>
      <c r="AI48" s="305"/>
      <c r="AJ48" s="305"/>
      <c r="AK48" s="329"/>
      <c r="AL48" s="305"/>
      <c r="AM48" s="305"/>
      <c r="AN48" s="309"/>
      <c r="AO48" s="140"/>
      <c r="AP48" s="140" t="b">
        <f t="shared" si="1"/>
        <v>1</v>
      </c>
    </row>
    <row r="49" spans="1:42" s="310" customFormat="1" ht="15" customHeight="1">
      <c r="A49" s="342">
        <v>45600</v>
      </c>
      <c r="B49" s="347">
        <v>45607</v>
      </c>
      <c r="C49" s="303"/>
      <c r="D49" s="304" t="s">
        <v>363</v>
      </c>
      <c r="E49" s="305"/>
      <c r="F49" s="302" t="s">
        <v>364</v>
      </c>
      <c r="G49" s="306">
        <v>30</v>
      </c>
      <c r="H49" s="303"/>
      <c r="I49" s="307">
        <v>1680</v>
      </c>
      <c r="J49" s="305">
        <v>280</v>
      </c>
      <c r="K49" s="305">
        <v>1400</v>
      </c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29"/>
      <c r="AL49" s="305"/>
      <c r="AM49" s="305">
        <v>1400</v>
      </c>
      <c r="AN49" s="309"/>
      <c r="AO49" s="140"/>
      <c r="AP49" s="140" t="b">
        <f t="shared" si="1"/>
        <v>1</v>
      </c>
    </row>
    <row r="50" spans="1:42" s="310" customFormat="1" ht="15" customHeight="1">
      <c r="A50" s="342">
        <v>45600</v>
      </c>
      <c r="B50" s="347">
        <v>45607</v>
      </c>
      <c r="C50" s="303"/>
      <c r="D50" s="304" t="s">
        <v>365</v>
      </c>
      <c r="E50" s="305"/>
      <c r="F50" s="302" t="s">
        <v>366</v>
      </c>
      <c r="G50" s="306">
        <v>31</v>
      </c>
      <c r="H50" s="303"/>
      <c r="I50" s="307">
        <v>180</v>
      </c>
      <c r="J50" s="305"/>
      <c r="K50" s="305">
        <v>180</v>
      </c>
      <c r="L50" s="305"/>
      <c r="M50" s="305"/>
      <c r="N50" s="305"/>
      <c r="O50" s="305"/>
      <c r="P50" s="305"/>
      <c r="Q50" s="305"/>
      <c r="R50" s="305"/>
      <c r="S50" s="305"/>
      <c r="T50" s="305"/>
      <c r="U50" s="305">
        <v>180</v>
      </c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29"/>
      <c r="AL50" s="305"/>
      <c r="AM50" s="305"/>
      <c r="AN50" s="309"/>
      <c r="AO50" s="140"/>
      <c r="AP50" s="140" t="b">
        <f t="shared" si="1"/>
        <v>1</v>
      </c>
    </row>
    <row r="51" spans="1:42" s="310" customFormat="1" ht="15" customHeight="1">
      <c r="A51" s="342">
        <v>45600</v>
      </c>
      <c r="B51" s="347">
        <v>45607</v>
      </c>
      <c r="C51" s="303"/>
      <c r="D51" s="304" t="s">
        <v>365</v>
      </c>
      <c r="E51" s="305"/>
      <c r="F51" s="302" t="s">
        <v>273</v>
      </c>
      <c r="G51" s="306">
        <v>32</v>
      </c>
      <c r="H51" s="303"/>
      <c r="I51" s="307">
        <v>110.6</v>
      </c>
      <c r="J51" s="305"/>
      <c r="K51" s="305">
        <v>110.6</v>
      </c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>
        <v>110.6</v>
      </c>
      <c r="AI51" s="305"/>
      <c r="AJ51" s="305"/>
      <c r="AK51" s="329"/>
      <c r="AL51" s="305"/>
      <c r="AM51" s="305"/>
      <c r="AN51" s="309"/>
      <c r="AO51" s="140"/>
      <c r="AP51" s="140" t="b">
        <f t="shared" si="1"/>
        <v>1</v>
      </c>
    </row>
    <row r="52" spans="1:42" s="310" customFormat="1" ht="15" customHeight="1">
      <c r="A52" s="342"/>
      <c r="B52" s="347">
        <v>45607</v>
      </c>
      <c r="C52" s="303"/>
      <c r="D52" s="304"/>
      <c r="E52" s="305"/>
      <c r="F52" s="302" t="s">
        <v>370</v>
      </c>
      <c r="G52" s="306">
        <v>33</v>
      </c>
      <c r="H52" s="303"/>
      <c r="I52" s="307">
        <v>252</v>
      </c>
      <c r="J52" s="305">
        <v>42</v>
      </c>
      <c r="K52" s="305">
        <v>210</v>
      </c>
      <c r="L52" s="305"/>
      <c r="M52" s="305">
        <v>210</v>
      </c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29"/>
      <c r="AL52" s="305"/>
      <c r="AM52" s="305"/>
      <c r="AN52" s="309"/>
      <c r="AO52" s="140"/>
      <c r="AP52" s="140" t="b">
        <f t="shared" si="1"/>
        <v>1</v>
      </c>
    </row>
    <row r="53" spans="1:42" s="310" customFormat="1" ht="15" customHeight="1">
      <c r="A53" s="342"/>
      <c r="B53" s="347">
        <v>45608</v>
      </c>
      <c r="C53" s="303"/>
      <c r="D53" s="304"/>
      <c r="E53" s="305"/>
      <c r="F53" s="302" t="s">
        <v>371</v>
      </c>
      <c r="G53" s="306">
        <v>34</v>
      </c>
      <c r="H53" s="303"/>
      <c r="I53" s="307">
        <v>620</v>
      </c>
      <c r="J53" s="305">
        <v>130</v>
      </c>
      <c r="K53" s="305">
        <v>490</v>
      </c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29"/>
      <c r="AL53" s="305">
        <v>490</v>
      </c>
      <c r="AM53" s="305"/>
      <c r="AN53" s="309"/>
      <c r="AO53" s="140"/>
      <c r="AP53" s="140" t="b">
        <f t="shared" si="1"/>
        <v>1</v>
      </c>
    </row>
    <row r="54" spans="1:42" s="310" customFormat="1" ht="15" customHeight="1">
      <c r="A54" s="342"/>
      <c r="B54" s="347">
        <v>45616</v>
      </c>
      <c r="C54" s="303"/>
      <c r="D54" s="304" t="s">
        <v>376</v>
      </c>
      <c r="E54" s="305"/>
      <c r="F54" s="302" t="s">
        <v>372</v>
      </c>
      <c r="G54" s="306">
        <v>35</v>
      </c>
      <c r="H54" s="303"/>
      <c r="I54" s="307">
        <v>3660</v>
      </c>
      <c r="J54" s="305">
        <v>610</v>
      </c>
      <c r="K54" s="305">
        <v>3050</v>
      </c>
      <c r="L54" s="305"/>
      <c r="M54" s="305"/>
      <c r="N54" s="305"/>
      <c r="O54" s="305"/>
      <c r="P54" s="305"/>
      <c r="Q54" s="305"/>
      <c r="R54" s="305"/>
      <c r="S54" s="305"/>
      <c r="T54" s="305"/>
      <c r="U54" s="305">
        <v>3050</v>
      </c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29"/>
      <c r="AL54" s="305"/>
      <c r="AM54" s="305"/>
      <c r="AN54" s="309"/>
      <c r="AO54" s="140"/>
      <c r="AP54" s="140" t="b">
        <f t="shared" si="1"/>
        <v>1</v>
      </c>
    </row>
    <row r="55" spans="1:42" s="310" customFormat="1" ht="15" customHeight="1">
      <c r="A55" s="342"/>
      <c r="B55" s="305"/>
      <c r="C55" s="303"/>
      <c r="D55" s="304"/>
      <c r="E55" s="305"/>
      <c r="F55" s="302" t="s">
        <v>358</v>
      </c>
      <c r="G55" s="306">
        <v>36</v>
      </c>
      <c r="H55" s="303"/>
      <c r="I55" s="307">
        <v>442.68</v>
      </c>
      <c r="J55" s="305"/>
      <c r="K55" s="305">
        <v>442.68</v>
      </c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>
        <v>442.68</v>
      </c>
      <c r="AI55" s="305"/>
      <c r="AJ55" s="305"/>
      <c r="AK55" s="329"/>
      <c r="AL55" s="305"/>
      <c r="AM55" s="305"/>
      <c r="AN55" s="309"/>
      <c r="AO55" s="140"/>
      <c r="AP55" s="140" t="b">
        <f t="shared" si="1"/>
        <v>1</v>
      </c>
    </row>
    <row r="56" spans="1:42" s="310" customFormat="1" ht="15" customHeight="1">
      <c r="A56" s="342"/>
      <c r="B56" s="305"/>
      <c r="C56" s="303"/>
      <c r="D56" s="304"/>
      <c r="E56" s="305"/>
      <c r="F56" s="302" t="s">
        <v>373</v>
      </c>
      <c r="G56" s="306">
        <v>37</v>
      </c>
      <c r="H56" s="303"/>
      <c r="I56" s="307">
        <v>110.6</v>
      </c>
      <c r="J56" s="305"/>
      <c r="K56" s="305">
        <v>110.6</v>
      </c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>
        <v>110.6</v>
      </c>
      <c r="AI56" s="305"/>
      <c r="AJ56" s="305"/>
      <c r="AK56" s="329"/>
      <c r="AL56" s="305"/>
      <c r="AM56" s="305"/>
      <c r="AN56" s="309"/>
      <c r="AO56" s="140"/>
      <c r="AP56" s="140" t="b">
        <f t="shared" si="1"/>
        <v>1</v>
      </c>
    </row>
    <row r="57" spans="1:42" s="310" customFormat="1" ht="15" customHeight="1">
      <c r="A57" s="342"/>
      <c r="B57" s="305"/>
      <c r="C57" s="303"/>
      <c r="D57" s="304"/>
      <c r="E57" s="305"/>
      <c r="F57" s="302" t="s">
        <v>309</v>
      </c>
      <c r="G57" s="306">
        <v>38</v>
      </c>
      <c r="H57" s="303"/>
      <c r="I57" s="307">
        <v>1615</v>
      </c>
      <c r="J57" s="305"/>
      <c r="K57" s="305">
        <v>1615</v>
      </c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>
        <v>1615</v>
      </c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29"/>
      <c r="AL57" s="305"/>
      <c r="AM57" s="305"/>
      <c r="AN57" s="309"/>
      <c r="AO57" s="140"/>
      <c r="AP57" s="140" t="b">
        <f t="shared" si="1"/>
        <v>1</v>
      </c>
    </row>
    <row r="58" spans="1:42" s="310" customFormat="1" ht="15" customHeight="1">
      <c r="A58" s="342"/>
      <c r="B58" s="305"/>
      <c r="C58" s="303"/>
      <c r="D58" s="304"/>
      <c r="E58" s="305"/>
      <c r="F58" s="302"/>
      <c r="G58" s="306"/>
      <c r="H58" s="303"/>
      <c r="I58" s="307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29"/>
      <c r="AL58" s="305"/>
      <c r="AM58" s="305"/>
      <c r="AN58" s="309"/>
      <c r="AO58" s="140"/>
      <c r="AP58" s="140" t="b">
        <f t="shared" si="1"/>
        <v>1</v>
      </c>
    </row>
    <row r="59" spans="1:42" s="310" customFormat="1" ht="15" customHeight="1">
      <c r="A59" s="342"/>
      <c r="B59" s="305"/>
      <c r="C59" s="303"/>
      <c r="D59" s="304"/>
      <c r="E59" s="305"/>
      <c r="F59" s="302"/>
      <c r="G59" s="306"/>
      <c r="H59" s="303"/>
      <c r="I59" s="307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29"/>
      <c r="AL59" s="305"/>
      <c r="AM59" s="305"/>
      <c r="AN59" s="309"/>
      <c r="AO59" s="140"/>
      <c r="AP59" s="140" t="b">
        <f t="shared" si="1"/>
        <v>1</v>
      </c>
    </row>
    <row r="60" spans="1:42" s="310" customFormat="1" ht="15" customHeight="1">
      <c r="A60" s="342"/>
      <c r="B60" s="305"/>
      <c r="C60" s="303"/>
      <c r="D60" s="304"/>
      <c r="E60" s="305"/>
      <c r="F60" s="302"/>
      <c r="G60" s="306"/>
      <c r="H60" s="303"/>
      <c r="I60" s="307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29"/>
      <c r="AL60" s="305"/>
      <c r="AM60" s="305"/>
      <c r="AN60" s="309"/>
      <c r="AO60" s="140"/>
      <c r="AP60" s="140" t="b">
        <f t="shared" si="1"/>
        <v>1</v>
      </c>
    </row>
    <row r="61" spans="1:42" s="310" customFormat="1" ht="15" customHeight="1">
      <c r="A61" s="342"/>
      <c r="B61" s="305"/>
      <c r="C61" s="303"/>
      <c r="D61" s="304"/>
      <c r="E61" s="305"/>
      <c r="F61" s="302"/>
      <c r="G61" s="306"/>
      <c r="H61" s="303"/>
      <c r="I61" s="307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29"/>
      <c r="AL61" s="305"/>
      <c r="AM61" s="305"/>
      <c r="AN61" s="309"/>
      <c r="AO61" s="140"/>
      <c r="AP61" s="140" t="b">
        <f t="shared" si="1"/>
        <v>1</v>
      </c>
    </row>
    <row r="62" spans="1:42" s="310" customFormat="1" ht="15" customHeight="1">
      <c r="A62" s="342"/>
      <c r="B62" s="305"/>
      <c r="C62" s="303"/>
      <c r="D62" s="304"/>
      <c r="E62" s="305"/>
      <c r="F62" s="302"/>
      <c r="G62" s="306"/>
      <c r="H62" s="303"/>
      <c r="I62" s="307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29"/>
      <c r="AL62" s="305"/>
      <c r="AM62" s="305"/>
      <c r="AN62" s="309"/>
      <c r="AO62" s="140"/>
      <c r="AP62" s="140" t="b">
        <f t="shared" si="1"/>
        <v>1</v>
      </c>
    </row>
    <row r="63" spans="1:42" s="310" customFormat="1" ht="15" customHeight="1">
      <c r="A63" s="342"/>
      <c r="B63" s="305"/>
      <c r="C63" s="303"/>
      <c r="D63" s="304"/>
      <c r="E63" s="305"/>
      <c r="F63" s="302"/>
      <c r="G63" s="306"/>
      <c r="H63" s="303"/>
      <c r="I63" s="307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29"/>
      <c r="AL63" s="305"/>
      <c r="AM63" s="305"/>
      <c r="AN63" s="309"/>
      <c r="AO63" s="140"/>
      <c r="AP63" s="140" t="b">
        <f t="shared" si="1"/>
        <v>1</v>
      </c>
    </row>
    <row r="64" spans="1:42" s="310" customFormat="1" ht="15" customHeight="1">
      <c r="A64" s="342"/>
      <c r="B64" s="305"/>
      <c r="C64" s="303"/>
      <c r="D64" s="304"/>
      <c r="E64" s="305"/>
      <c r="F64" s="302"/>
      <c r="G64" s="306"/>
      <c r="H64" s="303"/>
      <c r="I64" s="307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29"/>
      <c r="AL64" s="305"/>
      <c r="AM64" s="305"/>
      <c r="AN64" s="309"/>
      <c r="AO64" s="140"/>
      <c r="AP64" s="140" t="b">
        <f t="shared" si="1"/>
        <v>1</v>
      </c>
    </row>
    <row r="65" spans="1:42" s="310" customFormat="1" ht="15" customHeight="1">
      <c r="A65" s="342"/>
      <c r="B65" s="305"/>
      <c r="C65" s="303"/>
      <c r="D65" s="304"/>
      <c r="E65" s="305"/>
      <c r="F65" s="302"/>
      <c r="G65" s="306"/>
      <c r="H65" s="303"/>
      <c r="I65" s="307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29"/>
      <c r="AL65" s="305"/>
      <c r="AM65" s="305"/>
      <c r="AN65" s="309"/>
      <c r="AO65" s="140"/>
      <c r="AP65" s="140" t="b">
        <f t="shared" si="1"/>
        <v>1</v>
      </c>
    </row>
    <row r="66" spans="1:42" s="310" customFormat="1" ht="15" customHeight="1">
      <c r="A66" s="342"/>
      <c r="B66" s="305"/>
      <c r="C66" s="303"/>
      <c r="D66" s="304"/>
      <c r="E66" s="305"/>
      <c r="F66" s="302"/>
      <c r="G66" s="306"/>
      <c r="H66" s="303"/>
      <c r="I66" s="307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29"/>
      <c r="AL66" s="305"/>
      <c r="AM66" s="305"/>
      <c r="AN66" s="309"/>
      <c r="AO66" s="140"/>
      <c r="AP66" s="140" t="b">
        <f t="shared" si="1"/>
        <v>1</v>
      </c>
    </row>
    <row r="67" spans="1:42" s="310" customFormat="1" ht="15" customHeight="1">
      <c r="A67" s="342"/>
      <c r="B67" s="305"/>
      <c r="C67" s="303"/>
      <c r="D67" s="304"/>
      <c r="E67" s="305"/>
      <c r="F67" s="302"/>
      <c r="G67" s="306"/>
      <c r="H67" s="303"/>
      <c r="I67" s="307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29"/>
      <c r="AL67" s="305"/>
      <c r="AM67" s="305"/>
      <c r="AN67" s="309"/>
      <c r="AO67" s="140"/>
      <c r="AP67" s="140" t="b">
        <f t="shared" si="1"/>
        <v>1</v>
      </c>
    </row>
    <row r="68" spans="1:42" s="310" customFormat="1" ht="15" customHeight="1">
      <c r="A68" s="342"/>
      <c r="B68" s="305"/>
      <c r="C68" s="303"/>
      <c r="D68" s="304"/>
      <c r="E68" s="305"/>
      <c r="F68" s="302"/>
      <c r="G68" s="306"/>
      <c r="H68" s="303"/>
      <c r="I68" s="307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29"/>
      <c r="AL68" s="305"/>
      <c r="AM68" s="305"/>
      <c r="AN68" s="309"/>
      <c r="AO68" s="140"/>
      <c r="AP68" s="140" t="b">
        <f t="shared" si="1"/>
        <v>1</v>
      </c>
    </row>
    <row r="69" spans="1:42" s="310" customFormat="1" ht="15" customHeight="1">
      <c r="A69" s="342"/>
      <c r="B69" s="305"/>
      <c r="C69" s="303"/>
      <c r="D69" s="304"/>
      <c r="E69" s="305"/>
      <c r="F69" s="302"/>
      <c r="G69" s="306"/>
      <c r="H69" s="303"/>
      <c r="I69" s="307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29"/>
      <c r="AL69" s="305"/>
      <c r="AM69" s="305"/>
      <c r="AN69" s="309"/>
      <c r="AO69" s="140"/>
      <c r="AP69" s="140" t="b">
        <f t="shared" si="1"/>
        <v>1</v>
      </c>
    </row>
    <row r="70" spans="1:42" s="310" customFormat="1" ht="15" customHeight="1">
      <c r="A70" s="342"/>
      <c r="B70" s="305"/>
      <c r="C70" s="303"/>
      <c r="D70" s="304"/>
      <c r="E70" s="305"/>
      <c r="F70" s="302"/>
      <c r="G70" s="306"/>
      <c r="H70" s="303"/>
      <c r="I70" s="307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29"/>
      <c r="AL70" s="305"/>
      <c r="AM70" s="305"/>
      <c r="AN70" s="309"/>
      <c r="AO70" s="140"/>
      <c r="AP70" s="140" t="b">
        <f t="shared" si="1"/>
        <v>1</v>
      </c>
    </row>
    <row r="71" spans="1:42" s="310" customFormat="1" ht="15" customHeight="1">
      <c r="A71" s="342"/>
      <c r="B71" s="305"/>
      <c r="C71" s="303"/>
      <c r="D71" s="304"/>
      <c r="E71" s="305"/>
      <c r="F71" s="302"/>
      <c r="G71" s="306"/>
      <c r="H71" s="303"/>
      <c r="I71" s="307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29"/>
      <c r="AL71" s="305"/>
      <c r="AM71" s="305"/>
      <c r="AN71" s="309"/>
      <c r="AO71" s="140"/>
      <c r="AP71" s="140" t="b">
        <f t="shared" si="1"/>
        <v>1</v>
      </c>
    </row>
    <row r="72" spans="1:42" s="310" customFormat="1" ht="15" customHeight="1">
      <c r="A72" s="342"/>
      <c r="B72" s="305"/>
      <c r="C72" s="303"/>
      <c r="D72" s="304"/>
      <c r="E72" s="305"/>
      <c r="F72" s="302"/>
      <c r="G72" s="306"/>
      <c r="H72" s="303"/>
      <c r="I72" s="307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29"/>
      <c r="AL72" s="305"/>
      <c r="AM72" s="305"/>
      <c r="AN72" s="309"/>
      <c r="AO72" s="140"/>
      <c r="AP72" s="140" t="b">
        <f t="shared" si="1"/>
        <v>1</v>
      </c>
    </row>
    <row r="73" spans="1:42" s="310" customFormat="1" ht="15" customHeight="1">
      <c r="A73" s="342"/>
      <c r="B73" s="305"/>
      <c r="C73" s="303"/>
      <c r="D73" s="304"/>
      <c r="E73" s="305"/>
      <c r="F73" s="302"/>
      <c r="G73" s="306"/>
      <c r="H73" s="303"/>
      <c r="I73" s="307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29"/>
      <c r="AL73" s="305"/>
      <c r="AM73" s="305"/>
      <c r="AN73" s="309"/>
      <c r="AO73" s="140"/>
      <c r="AP73" s="140" t="b">
        <f t="shared" si="1"/>
        <v>1</v>
      </c>
    </row>
    <row r="74" spans="1:42" s="310" customFormat="1" ht="15" customHeight="1">
      <c r="A74" s="342"/>
      <c r="B74" s="305"/>
      <c r="C74" s="303"/>
      <c r="D74" s="304"/>
      <c r="E74" s="305"/>
      <c r="F74" s="302"/>
      <c r="G74" s="306"/>
      <c r="H74" s="303"/>
      <c r="I74" s="307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29"/>
      <c r="AL74" s="305"/>
      <c r="AM74" s="305"/>
      <c r="AN74" s="309"/>
      <c r="AO74" s="140"/>
      <c r="AP74" s="140" t="b">
        <f t="shared" si="1"/>
        <v>1</v>
      </c>
    </row>
    <row r="75" spans="1:42" s="310" customFormat="1" ht="15" customHeight="1">
      <c r="A75" s="342"/>
      <c r="B75" s="305"/>
      <c r="C75" s="303"/>
      <c r="D75" s="304"/>
      <c r="E75" s="305"/>
      <c r="F75" s="302"/>
      <c r="G75" s="306"/>
      <c r="H75" s="303"/>
      <c r="I75" s="307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29"/>
      <c r="AL75" s="305"/>
      <c r="AM75" s="305"/>
      <c r="AN75" s="309"/>
      <c r="AO75" s="140"/>
      <c r="AP75" s="140" t="b">
        <f t="shared" si="1"/>
        <v>1</v>
      </c>
    </row>
    <row r="76" spans="1:42" s="310" customFormat="1" ht="15" customHeight="1">
      <c r="A76" s="342"/>
      <c r="B76" s="305"/>
      <c r="C76" s="303"/>
      <c r="D76" s="304"/>
      <c r="E76" s="305"/>
      <c r="F76" s="302"/>
      <c r="G76" s="306"/>
      <c r="H76" s="303"/>
      <c r="I76" s="307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29"/>
      <c r="AL76" s="305"/>
      <c r="AM76" s="305"/>
      <c r="AN76" s="309"/>
      <c r="AO76" s="140"/>
      <c r="AP76" s="140" t="b">
        <f t="shared" si="1"/>
        <v>1</v>
      </c>
    </row>
    <row r="77" spans="1:42" s="310" customFormat="1" ht="15" customHeight="1">
      <c r="A77" s="342"/>
      <c r="B77" s="305"/>
      <c r="C77" s="303"/>
      <c r="D77" s="304"/>
      <c r="E77" s="305"/>
      <c r="F77" s="302"/>
      <c r="G77" s="306"/>
      <c r="H77" s="303"/>
      <c r="I77" s="307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29"/>
      <c r="AL77" s="305"/>
      <c r="AM77" s="305"/>
      <c r="AN77" s="309"/>
      <c r="AO77" s="140"/>
      <c r="AP77" s="140" t="b">
        <f t="shared" si="1"/>
        <v>1</v>
      </c>
    </row>
    <row r="78" spans="1:42" s="310" customFormat="1" ht="15" customHeight="1">
      <c r="A78" s="342"/>
      <c r="B78" s="305"/>
      <c r="C78" s="303"/>
      <c r="D78" s="304"/>
      <c r="E78" s="305"/>
      <c r="F78" s="302"/>
      <c r="G78" s="306"/>
      <c r="H78" s="303"/>
      <c r="I78" s="307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29"/>
      <c r="AL78" s="305"/>
      <c r="AM78" s="305"/>
      <c r="AN78" s="309"/>
      <c r="AO78" s="140"/>
      <c r="AP78" s="140" t="b">
        <f t="shared" si="1"/>
        <v>1</v>
      </c>
    </row>
    <row r="79" spans="1:42" s="310" customFormat="1" ht="15" customHeight="1">
      <c r="A79" s="302"/>
      <c r="B79" s="342"/>
      <c r="C79" s="303"/>
      <c r="D79" s="304"/>
      <c r="E79" s="305"/>
      <c r="F79" s="302"/>
      <c r="G79" s="306"/>
      <c r="H79" s="303"/>
      <c r="I79" s="307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29"/>
      <c r="AL79" s="305"/>
      <c r="AM79" s="305"/>
      <c r="AN79" s="309"/>
      <c r="AO79" s="140"/>
      <c r="AP79" s="140" t="b">
        <f t="shared" si="1"/>
        <v>1</v>
      </c>
    </row>
    <row r="80" spans="1:42" ht="16" thickBot="1">
      <c r="H80" s="141" t="s">
        <v>7</v>
      </c>
      <c r="I80" s="253">
        <f t="shared" ref="I80:AN80" si="3">SUM(I18:I79)</f>
        <v>20569.240000000002</v>
      </c>
      <c r="J80" s="253">
        <f t="shared" si="3"/>
        <v>1271.8833333333332</v>
      </c>
      <c r="K80" s="253">
        <f>SUM(K18:K79)</f>
        <v>19297.356666666667</v>
      </c>
      <c r="L80" s="253">
        <f t="shared" si="3"/>
        <v>0</v>
      </c>
      <c r="M80" s="253">
        <f t="shared" si="3"/>
        <v>518.54999999999995</v>
      </c>
      <c r="N80" s="253">
        <f t="shared" si="3"/>
        <v>0</v>
      </c>
      <c r="O80" s="253">
        <f t="shared" si="3"/>
        <v>0</v>
      </c>
      <c r="P80" s="253">
        <f t="shared" si="3"/>
        <v>928</v>
      </c>
      <c r="Q80" s="253">
        <f t="shared" si="3"/>
        <v>451.2</v>
      </c>
      <c r="R80" s="253">
        <f t="shared" si="3"/>
        <v>35</v>
      </c>
      <c r="S80" s="253">
        <f t="shared" si="3"/>
        <v>1250</v>
      </c>
      <c r="T80" s="253">
        <f t="shared" si="3"/>
        <v>396.1</v>
      </c>
      <c r="U80" s="253">
        <f t="shared" si="3"/>
        <v>3603.36</v>
      </c>
      <c r="V80" s="253">
        <f t="shared" si="3"/>
        <v>14.5</v>
      </c>
      <c r="W80" s="253">
        <f t="shared" si="3"/>
        <v>2375</v>
      </c>
      <c r="X80" s="253">
        <f t="shared" si="3"/>
        <v>45</v>
      </c>
      <c r="Y80" s="253">
        <f t="shared" si="3"/>
        <v>626.46</v>
      </c>
      <c r="Z80" s="253">
        <f t="shared" si="3"/>
        <v>131.66999999999999</v>
      </c>
      <c r="AA80" s="253">
        <f t="shared" si="3"/>
        <v>29.16</v>
      </c>
      <c r="AB80" s="253">
        <f t="shared" si="3"/>
        <v>225</v>
      </c>
      <c r="AC80" s="253">
        <f t="shared" si="3"/>
        <v>90</v>
      </c>
      <c r="AD80" s="253">
        <f t="shared" si="3"/>
        <v>662.28</v>
      </c>
      <c r="AE80" s="253">
        <f t="shared" si="3"/>
        <v>0</v>
      </c>
      <c r="AF80" s="253">
        <f t="shared" si="3"/>
        <v>0</v>
      </c>
      <c r="AG80" s="253">
        <f t="shared" si="3"/>
        <v>228.34</v>
      </c>
      <c r="AH80" s="253">
        <f t="shared" si="3"/>
        <v>5061.2600000000011</v>
      </c>
      <c r="AI80" s="253">
        <f t="shared" si="3"/>
        <v>59.150000000000006</v>
      </c>
      <c r="AJ80" s="253">
        <f t="shared" si="3"/>
        <v>327.91</v>
      </c>
      <c r="AK80" s="253">
        <f t="shared" si="3"/>
        <v>229.41666666666669</v>
      </c>
      <c r="AL80" s="253">
        <f t="shared" si="3"/>
        <v>490</v>
      </c>
      <c r="AM80" s="253">
        <f t="shared" si="3"/>
        <v>1400</v>
      </c>
      <c r="AN80" s="253">
        <f t="shared" si="3"/>
        <v>120</v>
      </c>
      <c r="AO80" s="345" t="b">
        <f>SUM(L80:AN80)=K80</f>
        <v>1</v>
      </c>
      <c r="AP80" s="238"/>
    </row>
    <row r="81" spans="9:17" ht="16" thickTop="1">
      <c r="I81" s="140" t="b">
        <f>I80='Bank Rec '!D16</f>
        <v>1</v>
      </c>
      <c r="K81" s="233">
        <f>SUM(J80:K80)-I80</f>
        <v>0</v>
      </c>
      <c r="P81" s="233"/>
      <c r="Q81" s="233"/>
    </row>
    <row r="82" spans="9:17">
      <c r="K82" s="282">
        <f>SUM(L80:AN80)</f>
        <v>19297.35666666667</v>
      </c>
      <c r="O82" s="233"/>
    </row>
    <row r="83" spans="9:17">
      <c r="K83" s="233">
        <f>K80-K82</f>
        <v>0</v>
      </c>
      <c r="O83" s="233"/>
    </row>
    <row r="85" spans="9:17">
      <c r="O85" s="233"/>
    </row>
  </sheetData>
  <sortState xmlns:xlrd2="http://schemas.microsoft.com/office/spreadsheetml/2017/richdata2" ref="L17:AN17">
    <sortCondition ref="L17"/>
  </sortState>
  <customSheetViews>
    <customSheetView guid="{D77C52FB-56C3-AF47-AD29-EE07F130855B}" scale="110" fitToPage="1" hiddenColumns="1" topLeftCell="U1">
      <pane ySplit="4" topLeftCell="A58" activePane="bottomLeft" state="frozenSplit"/>
      <selection pane="bottomLeft" activeCell="M79" sqref="M79"/>
      <pageMargins left="0.70866141732283472" right="0.70866141732283472" top="0.74803149606299213" bottom="0.74803149606299213" header="0.31496062992125984" footer="0.31496062992125984"/>
      <pageSetup paperSize="8" scale="50" fitToWidth="2" orientation="landscape" r:id="rId1"/>
    </customSheetView>
  </customSheetViews>
  <phoneticPr fontId="17" type="noConversion"/>
  <pageMargins left="0.70866141732283472" right="0.70866141732283472" top="0.74803149606299213" bottom="0.74803149606299213" header="0.31496062992125984" footer="0.31496062992125984"/>
  <pageSetup paperSize="9" scale="73" fitToWidth="3" fitToHeight="2" orientation="landscape" r:id="rId2"/>
  <ignoredErrors>
    <ignoredError sqref="A5:A8 A18:B18 B20:B22 A21:A26 A28:A29 B27 B30:B33 A32" twoDigitTextYear="1"/>
    <ignoredError sqref="K21:K23 K2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5687B-EBD2-6D46-BF9C-0B06B380F4DF}">
  <sheetPr>
    <pageSetUpPr fitToPage="1"/>
  </sheetPr>
  <dimension ref="A1:K48"/>
  <sheetViews>
    <sheetView topLeftCell="A13" zoomScale="94" zoomScaleNormal="130" zoomScalePageLayoutView="130" workbookViewId="0">
      <selection activeCell="F5" sqref="F5"/>
    </sheetView>
  </sheetViews>
  <sheetFormatPr defaultColWidth="10.81640625" defaultRowHeight="15.5"/>
  <cols>
    <col min="1" max="1" width="26" style="14" customWidth="1"/>
    <col min="2" max="2" width="19.6328125" style="14" bestFit="1" customWidth="1"/>
    <col min="3" max="3" width="16" style="14" customWidth="1"/>
    <col min="4" max="4" width="14" style="14" hidden="1" customWidth="1"/>
    <col min="5" max="5" width="14.08984375" style="14" bestFit="1" customWidth="1"/>
    <col min="6" max="6" width="14.36328125" style="14" customWidth="1"/>
    <col min="7" max="7" width="14.81640625" style="14" hidden="1" customWidth="1"/>
    <col min="8" max="8" width="14" style="14" bestFit="1" customWidth="1"/>
    <col min="9" max="9" width="1.6328125" style="14" customWidth="1"/>
    <col min="10" max="10" width="14.1796875" style="14" bestFit="1" customWidth="1"/>
    <col min="11" max="11" width="13.453125" style="14" bestFit="1" customWidth="1"/>
    <col min="12" max="16384" width="10.81640625" style="14"/>
  </cols>
  <sheetData>
    <row r="1" spans="1:11">
      <c r="A1" s="17" t="s">
        <v>261</v>
      </c>
      <c r="B1" s="17"/>
    </row>
    <row r="2" spans="1:11">
      <c r="A2" s="193"/>
      <c r="B2" s="49"/>
      <c r="C2" s="194"/>
      <c r="D2" s="194"/>
      <c r="E2" s="194"/>
      <c r="F2" s="195"/>
      <c r="G2" s="195"/>
      <c r="H2" s="49"/>
      <c r="I2" s="49"/>
      <c r="J2" s="49"/>
      <c r="K2" s="49"/>
    </row>
    <row r="3" spans="1:11">
      <c r="A3" s="196"/>
      <c r="B3" s="197" t="s">
        <v>26</v>
      </c>
      <c r="C3" s="198" t="s">
        <v>12</v>
      </c>
      <c r="D3" s="198" t="s">
        <v>51</v>
      </c>
      <c r="E3" s="199" t="s">
        <v>27</v>
      </c>
      <c r="F3" s="199" t="s">
        <v>51</v>
      </c>
      <c r="G3" s="199" t="s">
        <v>313</v>
      </c>
      <c r="H3" s="199" t="s">
        <v>62</v>
      </c>
      <c r="I3" s="50"/>
      <c r="J3" s="6"/>
    </row>
    <row r="4" spans="1:11">
      <c r="A4" s="200" t="s">
        <v>1</v>
      </c>
      <c r="B4" s="201">
        <v>0</v>
      </c>
      <c r="C4" s="201">
        <v>0</v>
      </c>
      <c r="D4" s="201">
        <v>0</v>
      </c>
      <c r="E4" s="201">
        <v>0</v>
      </c>
      <c r="F4" s="201">
        <v>0</v>
      </c>
      <c r="G4" s="201"/>
      <c r="H4" s="202">
        <f t="shared" ref="H4:H24" si="0">B4+C4+D4-E4-F4</f>
        <v>0</v>
      </c>
      <c r="I4" s="6"/>
      <c r="J4" s="7"/>
    </row>
    <row r="5" spans="1:11">
      <c r="A5" s="200" t="s">
        <v>119</v>
      </c>
      <c r="B5" s="201">
        <v>5000</v>
      </c>
      <c r="C5" s="201">
        <v>0</v>
      </c>
      <c r="D5" s="201">
        <v>0</v>
      </c>
      <c r="E5" s="201">
        <v>0</v>
      </c>
      <c r="F5" s="201">
        <v>500</v>
      </c>
      <c r="G5" s="201"/>
      <c r="H5" s="202">
        <f t="shared" si="0"/>
        <v>4500</v>
      </c>
      <c r="I5" s="6"/>
      <c r="J5" s="7"/>
    </row>
    <row r="6" spans="1:11">
      <c r="A6" s="200" t="s">
        <v>240</v>
      </c>
      <c r="B6" s="201">
        <v>275</v>
      </c>
      <c r="C6" s="201">
        <v>0</v>
      </c>
      <c r="D6" s="201">
        <v>0</v>
      </c>
      <c r="E6" s="201">
        <v>0</v>
      </c>
      <c r="F6" s="201">
        <v>0</v>
      </c>
      <c r="G6" s="201"/>
      <c r="H6" s="202">
        <f t="shared" si="0"/>
        <v>275</v>
      </c>
      <c r="I6" s="6"/>
      <c r="J6" s="52" t="s">
        <v>7</v>
      </c>
    </row>
    <row r="7" spans="1:11" s="18" customFormat="1">
      <c r="A7" s="150" t="s">
        <v>247</v>
      </c>
      <c r="B7" s="201">
        <v>150</v>
      </c>
      <c r="C7" s="201">
        <v>0</v>
      </c>
      <c r="D7" s="201">
        <v>0</v>
      </c>
      <c r="E7" s="201">
        <v>0</v>
      </c>
      <c r="F7" s="201">
        <v>0</v>
      </c>
      <c r="G7" s="201"/>
      <c r="H7" s="202">
        <f t="shared" si="0"/>
        <v>150</v>
      </c>
      <c r="I7" s="6"/>
      <c r="J7" s="127"/>
    </row>
    <row r="8" spans="1:11">
      <c r="A8" s="200" t="s">
        <v>244</v>
      </c>
      <c r="B8" s="201">
        <v>500</v>
      </c>
      <c r="C8" s="201">
        <v>0</v>
      </c>
      <c r="D8" s="201">
        <v>0</v>
      </c>
      <c r="E8" s="201">
        <v>0</v>
      </c>
      <c r="F8" s="201">
        <v>0</v>
      </c>
      <c r="G8" s="201"/>
      <c r="H8" s="202">
        <f t="shared" si="0"/>
        <v>500</v>
      </c>
      <c r="I8" s="6"/>
      <c r="J8" s="52"/>
    </row>
    <row r="9" spans="1:11">
      <c r="A9" s="200" t="s">
        <v>245</v>
      </c>
      <c r="B9" s="201">
        <v>500</v>
      </c>
      <c r="C9" s="201">
        <v>0</v>
      </c>
      <c r="D9" s="201">
        <v>0</v>
      </c>
      <c r="E9" s="201">
        <v>0</v>
      </c>
      <c r="F9" s="201">
        <v>0</v>
      </c>
      <c r="G9" s="201"/>
      <c r="H9" s="202">
        <f t="shared" si="0"/>
        <v>500</v>
      </c>
      <c r="I9" s="6"/>
      <c r="J9" s="52"/>
    </row>
    <row r="10" spans="1:11">
      <c r="A10" s="200" t="s">
        <v>120</v>
      </c>
      <c r="B10" s="201">
        <v>12426.15</v>
      </c>
      <c r="C10" s="201">
        <f>'Payments Receipts Cash Book'!H13</f>
        <v>635.71</v>
      </c>
      <c r="D10" s="201">
        <v>0</v>
      </c>
      <c r="E10" s="201">
        <v>0</v>
      </c>
      <c r="F10" s="201">
        <v>0</v>
      </c>
      <c r="G10" s="201"/>
      <c r="H10" s="202">
        <f t="shared" si="0"/>
        <v>13061.86</v>
      </c>
      <c r="I10" s="6"/>
      <c r="J10" s="53"/>
    </row>
    <row r="11" spans="1:11">
      <c r="A11" s="200" t="s">
        <v>121</v>
      </c>
      <c r="B11" s="201">
        <v>201</v>
      </c>
      <c r="C11" s="201">
        <v>0</v>
      </c>
      <c r="D11" s="201">
        <v>0</v>
      </c>
      <c r="E11" s="201">
        <v>0</v>
      </c>
      <c r="F11" s="201">
        <v>0</v>
      </c>
      <c r="G11" s="201"/>
      <c r="H11" s="202">
        <f t="shared" si="0"/>
        <v>201</v>
      </c>
      <c r="I11" s="6"/>
      <c r="J11" s="8"/>
    </row>
    <row r="12" spans="1:11">
      <c r="A12" s="200" t="s">
        <v>122</v>
      </c>
      <c r="B12" s="201">
        <v>0</v>
      </c>
      <c r="C12" s="201">
        <v>0</v>
      </c>
      <c r="D12" s="201">
        <v>0</v>
      </c>
      <c r="E12" s="201">
        <v>0</v>
      </c>
      <c r="F12" s="201">
        <v>0</v>
      </c>
      <c r="G12" s="201"/>
      <c r="H12" s="202">
        <f t="shared" si="0"/>
        <v>0</v>
      </c>
      <c r="I12" s="6"/>
      <c r="J12" s="8"/>
    </row>
    <row r="13" spans="1:11">
      <c r="A13" s="200" t="s">
        <v>123</v>
      </c>
      <c r="B13" s="201">
        <v>250</v>
      </c>
      <c r="C13" s="201">
        <v>0</v>
      </c>
      <c r="D13" s="201">
        <v>0</v>
      </c>
      <c r="E13" s="201">
        <v>0</v>
      </c>
      <c r="F13" s="201">
        <v>0</v>
      </c>
      <c r="G13" s="201"/>
      <c r="H13" s="202">
        <f t="shared" si="0"/>
        <v>250</v>
      </c>
      <c r="I13" s="6"/>
      <c r="J13" s="8"/>
    </row>
    <row r="14" spans="1:11">
      <c r="A14" s="200" t="s">
        <v>124</v>
      </c>
      <c r="B14" s="201">
        <v>1005.29</v>
      </c>
      <c r="C14" s="201">
        <v>0</v>
      </c>
      <c r="D14" s="201">
        <v>0</v>
      </c>
      <c r="E14" s="201">
        <v>0</v>
      </c>
      <c r="F14" s="201">
        <v>0</v>
      </c>
      <c r="G14" s="201"/>
      <c r="H14" s="202">
        <f t="shared" si="0"/>
        <v>1005.29</v>
      </c>
      <c r="I14" s="6"/>
      <c r="J14" s="8"/>
    </row>
    <row r="15" spans="1:11">
      <c r="A15" s="200" t="s">
        <v>319</v>
      </c>
      <c r="B15" s="201">
        <v>0</v>
      </c>
      <c r="C15" s="201">
        <v>225</v>
      </c>
      <c r="D15" s="201">
        <v>0</v>
      </c>
      <c r="E15" s="201">
        <v>0</v>
      </c>
      <c r="F15" s="201">
        <v>0</v>
      </c>
      <c r="G15" s="201"/>
      <c r="H15" s="202">
        <f t="shared" si="0"/>
        <v>225</v>
      </c>
      <c r="I15" s="6"/>
      <c r="J15" s="8"/>
    </row>
    <row r="16" spans="1:11">
      <c r="A16" s="200" t="s">
        <v>125</v>
      </c>
      <c r="B16" s="201">
        <v>12003.43</v>
      </c>
      <c r="C16" s="201">
        <f>'Payments Receipts Cash Book'!G13+'Payments Receipts Cash Book'!F13+'Bank Rec '!D10</f>
        <v>24988.15</v>
      </c>
      <c r="D16" s="201">
        <v>0</v>
      </c>
      <c r="E16" s="201">
        <f>'Payments Receipts Cash Book'!I80-'Payments Receipts Cash Book'!I18</f>
        <v>20461.240000000002</v>
      </c>
      <c r="F16" s="201">
        <v>0</v>
      </c>
      <c r="G16" s="201"/>
      <c r="H16" s="202">
        <f>B16+C16+D16-E16-F16+G16</f>
        <v>16530.34</v>
      </c>
      <c r="I16" s="6">
        <f>'Payments Receipts Cash Book'!G13*2</f>
        <v>46714.8</v>
      </c>
      <c r="J16" s="133">
        <f>1-I17</f>
        <v>0.35385659362771538</v>
      </c>
      <c r="K16" s="8" t="s">
        <v>243</v>
      </c>
    </row>
    <row r="17" spans="1:11">
      <c r="A17" s="200" t="s">
        <v>126</v>
      </c>
      <c r="B17" s="201">
        <v>0</v>
      </c>
      <c r="C17" s="201">
        <v>0</v>
      </c>
      <c r="D17" s="201">
        <v>0</v>
      </c>
      <c r="E17" s="201">
        <v>0</v>
      </c>
      <c r="F17" s="201">
        <v>0</v>
      </c>
      <c r="G17" s="201"/>
      <c r="H17" s="202">
        <f t="shared" si="0"/>
        <v>0</v>
      </c>
      <c r="I17" s="134">
        <f>SUM(I16-H16)/I16</f>
        <v>0.64614340637228462</v>
      </c>
      <c r="J17" s="8"/>
    </row>
    <row r="18" spans="1:11">
      <c r="A18" s="200" t="s">
        <v>84</v>
      </c>
      <c r="B18" s="201">
        <v>90</v>
      </c>
      <c r="C18" s="201">
        <v>0</v>
      </c>
      <c r="D18" s="201">
        <v>0</v>
      </c>
      <c r="E18" s="201">
        <f>'Payments Receipts Cash Book'!I18</f>
        <v>108</v>
      </c>
      <c r="F18" s="201">
        <v>0</v>
      </c>
      <c r="G18" s="201"/>
      <c r="H18" s="202">
        <f t="shared" si="0"/>
        <v>-18</v>
      </c>
      <c r="I18" s="6" t="s">
        <v>7</v>
      </c>
      <c r="J18" s="16" t="s">
        <v>7</v>
      </c>
    </row>
    <row r="19" spans="1:11">
      <c r="A19" s="200" t="s">
        <v>127</v>
      </c>
      <c r="B19" s="201">
        <v>0</v>
      </c>
      <c r="C19" s="201">
        <v>0</v>
      </c>
      <c r="D19" s="201">
        <v>0</v>
      </c>
      <c r="E19" s="201">
        <f>B19</f>
        <v>0</v>
      </c>
      <c r="F19" s="201">
        <v>0</v>
      </c>
      <c r="G19" s="201"/>
      <c r="H19" s="202">
        <f t="shared" si="0"/>
        <v>0</v>
      </c>
    </row>
    <row r="20" spans="1:11">
      <c r="A20" s="200" t="s">
        <v>246</v>
      </c>
      <c r="B20" s="201">
        <v>100</v>
      </c>
      <c r="C20" s="201">
        <v>0</v>
      </c>
      <c r="D20" s="201">
        <v>0</v>
      </c>
      <c r="E20" s="201">
        <v>0</v>
      </c>
      <c r="F20" s="201">
        <v>0</v>
      </c>
      <c r="G20" s="201"/>
      <c r="H20" s="202">
        <f t="shared" si="0"/>
        <v>100</v>
      </c>
      <c r="I20" s="6"/>
      <c r="J20" s="8"/>
    </row>
    <row r="21" spans="1:11">
      <c r="A21" s="200" t="s">
        <v>128</v>
      </c>
      <c r="B21" s="201">
        <v>225</v>
      </c>
      <c r="C21" s="201">
        <v>0</v>
      </c>
      <c r="D21" s="201">
        <v>0</v>
      </c>
      <c r="E21" s="201">
        <v>0</v>
      </c>
      <c r="F21" s="201">
        <v>0</v>
      </c>
      <c r="G21" s="201"/>
      <c r="H21" s="202">
        <f t="shared" si="0"/>
        <v>225</v>
      </c>
      <c r="I21" s="6"/>
      <c r="J21" s="8"/>
    </row>
    <row r="22" spans="1:11">
      <c r="A22" s="200" t="s">
        <v>129</v>
      </c>
      <c r="B22" s="201">
        <v>245.64</v>
      </c>
      <c r="C22" s="201">
        <v>0</v>
      </c>
      <c r="D22" s="201">
        <v>0</v>
      </c>
      <c r="E22" s="201">
        <f>'Payments Receipts Cash Book'!U80</f>
        <v>3603.36</v>
      </c>
      <c r="F22" s="201">
        <v>0</v>
      </c>
      <c r="G22" s="201"/>
      <c r="H22" s="202">
        <f t="shared" si="0"/>
        <v>-3357.7200000000003</v>
      </c>
      <c r="I22" s="6"/>
      <c r="J22" s="8"/>
    </row>
    <row r="23" spans="1:11">
      <c r="A23" s="200" t="s">
        <v>249</v>
      </c>
      <c r="B23" s="201">
        <v>276</v>
      </c>
      <c r="C23" s="201">
        <v>0</v>
      </c>
      <c r="D23" s="201">
        <v>0</v>
      </c>
      <c r="E23" s="201">
        <v>0</v>
      </c>
      <c r="F23" s="201">
        <v>0</v>
      </c>
      <c r="G23" s="201"/>
      <c r="H23" s="202">
        <f t="shared" si="0"/>
        <v>276</v>
      </c>
      <c r="I23" s="6"/>
      <c r="J23" s="8"/>
    </row>
    <row r="24" spans="1:11">
      <c r="A24" s="200" t="s">
        <v>130</v>
      </c>
      <c r="B24" s="201">
        <v>0</v>
      </c>
      <c r="C24" s="201">
        <v>0</v>
      </c>
      <c r="D24" s="201">
        <v>0</v>
      </c>
      <c r="E24" s="201">
        <f>B24</f>
        <v>0</v>
      </c>
      <c r="F24" s="201">
        <v>0</v>
      </c>
      <c r="G24" s="201"/>
      <c r="H24" s="202">
        <f t="shared" si="0"/>
        <v>0</v>
      </c>
      <c r="I24" s="6" t="s">
        <v>7</v>
      </c>
      <c r="J24" s="8"/>
    </row>
    <row r="25" spans="1:11">
      <c r="A25" s="200" t="s">
        <v>131</v>
      </c>
      <c r="B25" s="201">
        <v>0</v>
      </c>
      <c r="C25" s="201">
        <v>0</v>
      </c>
      <c r="D25" s="201">
        <v>0</v>
      </c>
      <c r="E25" s="201">
        <v>0</v>
      </c>
      <c r="F25" s="201">
        <v>0</v>
      </c>
      <c r="G25" s="201"/>
      <c r="H25" s="202">
        <f>B25-E25-F25</f>
        <v>0</v>
      </c>
      <c r="I25" s="6"/>
      <c r="J25" s="8"/>
    </row>
    <row r="26" spans="1:11">
      <c r="A26" s="200" t="s">
        <v>142</v>
      </c>
      <c r="B26" s="201">
        <v>0</v>
      </c>
      <c r="C26" s="201">
        <v>0</v>
      </c>
      <c r="D26" s="201">
        <v>0</v>
      </c>
      <c r="E26" s="201">
        <v>0</v>
      </c>
      <c r="F26" s="201">
        <v>0</v>
      </c>
      <c r="G26" s="201"/>
      <c r="H26" s="202">
        <f>B26+C26+D26-E26-F26</f>
        <v>0</v>
      </c>
      <c r="I26" s="6"/>
      <c r="J26" s="8"/>
    </row>
    <row r="27" spans="1:11">
      <c r="A27" s="200" t="s">
        <v>320</v>
      </c>
      <c r="B27" s="201">
        <v>0</v>
      </c>
      <c r="C27" s="201">
        <v>275</v>
      </c>
      <c r="D27" s="201">
        <v>0</v>
      </c>
      <c r="E27" s="201">
        <v>0</v>
      </c>
      <c r="F27" s="201">
        <v>0</v>
      </c>
      <c r="G27" s="201"/>
      <c r="H27" s="202">
        <f>B27+C27+D27-E27-F27</f>
        <v>275</v>
      </c>
      <c r="I27" s="6"/>
      <c r="J27" s="8"/>
    </row>
    <row r="28" spans="1:11">
      <c r="A28" s="200" t="s">
        <v>132</v>
      </c>
      <c r="B28" s="201">
        <v>10000</v>
      </c>
      <c r="C28" s="201">
        <f>'Payments Receipts Cash Book'!J13</f>
        <v>2100</v>
      </c>
      <c r="D28" s="201">
        <v>0</v>
      </c>
      <c r="E28" s="201"/>
      <c r="F28" s="201">
        <v>0</v>
      </c>
      <c r="G28" s="201"/>
      <c r="H28" s="202">
        <f>B28+C28+D28-E28-F28</f>
        <v>12100</v>
      </c>
      <c r="I28" s="6"/>
      <c r="J28" s="8"/>
    </row>
    <row r="29" spans="1:11" ht="16" thickBot="1">
      <c r="A29"/>
      <c r="B29" s="203">
        <f t="shared" ref="B29:H29" si="1">SUM(B4:B28)</f>
        <v>43247.51</v>
      </c>
      <c r="C29" s="203">
        <f t="shared" si="1"/>
        <v>28223.86</v>
      </c>
      <c r="D29" s="203">
        <f t="shared" si="1"/>
        <v>0</v>
      </c>
      <c r="E29" s="203">
        <f t="shared" si="1"/>
        <v>24172.600000000002</v>
      </c>
      <c r="F29" s="203">
        <f t="shared" si="1"/>
        <v>500</v>
      </c>
      <c r="G29" s="203"/>
      <c r="H29" s="203">
        <f t="shared" si="1"/>
        <v>46798.770000000004</v>
      </c>
      <c r="I29" s="61">
        <f>'Bank Rec'!E18</f>
        <v>57745.100000000006</v>
      </c>
      <c r="J29" s="51">
        <f>'Bank Rec '!E20</f>
        <v>51134.619999999995</v>
      </c>
      <c r="K29" s="51">
        <f>J29-H29</f>
        <v>4335.8499999999913</v>
      </c>
    </row>
    <row r="30" spans="1:11" ht="16" thickTop="1">
      <c r="B30" s="3">
        <f>C29-'Bank Rec '!D11</f>
        <v>-5.7900000000008731</v>
      </c>
      <c r="C30" s="2" t="b">
        <f>C29-F29='Bank Rec '!E11</f>
        <v>0</v>
      </c>
      <c r="D30" s="2"/>
      <c r="E30" s="2" t="b">
        <f>E29='Payments Receipts Cash Book'!I80</f>
        <v>0</v>
      </c>
      <c r="F30" s="4"/>
      <c r="G30" s="4"/>
      <c r="H30" s="2" t="b">
        <f>H29='Bank Rec '!E25</f>
        <v>0</v>
      </c>
      <c r="I30" s="2"/>
      <c r="J30" s="51"/>
    </row>
    <row r="31" spans="1:11">
      <c r="A31"/>
      <c r="C31" s="16"/>
      <c r="J31" s="16"/>
    </row>
    <row r="32" spans="1:11" ht="31">
      <c r="B32" s="204" t="s">
        <v>26</v>
      </c>
      <c r="C32" s="204" t="s">
        <v>115</v>
      </c>
      <c r="D32" s="205" t="s">
        <v>24</v>
      </c>
      <c r="E32" s="204" t="s">
        <v>116</v>
      </c>
      <c r="F32" s="205" t="s">
        <v>29</v>
      </c>
      <c r="G32" s="205"/>
      <c r="H32" s="205" t="s">
        <v>28</v>
      </c>
      <c r="I32" s="57"/>
    </row>
    <row r="33" spans="1:11">
      <c r="A33" s="88" t="s">
        <v>143</v>
      </c>
      <c r="B33" s="206">
        <f>'Bank Rec '!D5</f>
        <v>30252.560000000001</v>
      </c>
      <c r="C33" s="206">
        <f>'Bank Rec '!D10</f>
        <v>226.7</v>
      </c>
      <c r="D33" s="206">
        <v>0</v>
      </c>
      <c r="E33" s="206">
        <v>0</v>
      </c>
      <c r="F33" s="206">
        <v>0</v>
      </c>
      <c r="G33" s="206"/>
      <c r="H33" s="207">
        <f>B33+C33-E33-F33</f>
        <v>30479.260000000002</v>
      </c>
      <c r="I33" s="75" t="b">
        <f>H33='Bank Rec '!E23</f>
        <v>1</v>
      </c>
    </row>
    <row r="34" spans="1:11">
      <c r="A34" s="88" t="s">
        <v>133</v>
      </c>
      <c r="B34" s="206">
        <f>'Bank Rec '!D6</f>
        <v>12994.95</v>
      </c>
      <c r="C34" s="206">
        <f>'Bank Rec '!D11</f>
        <v>28229.65</v>
      </c>
      <c r="D34" s="206">
        <v>0</v>
      </c>
      <c r="E34" s="206">
        <f>'Bank Rec '!E16-'Bank Rec '!E18</f>
        <v>20569.240000000002</v>
      </c>
      <c r="F34" s="206">
        <v>0</v>
      </c>
      <c r="G34" s="206"/>
      <c r="H34" s="207">
        <f>B34+C34-E34+D34</f>
        <v>20655.360000000004</v>
      </c>
      <c r="I34" s="75" t="b">
        <f>H34='Bank Rec '!E24</f>
        <v>0</v>
      </c>
    </row>
    <row r="35" spans="1:11" ht="16" thickBot="1">
      <c r="B35" s="206">
        <f t="shared" ref="B35:F35" si="2">B34+B33</f>
        <v>43247.51</v>
      </c>
      <c r="C35" s="208">
        <f t="shared" si="2"/>
        <v>28456.350000000002</v>
      </c>
      <c r="D35" s="208">
        <f t="shared" si="2"/>
        <v>0</v>
      </c>
      <c r="E35" s="208">
        <f t="shared" si="2"/>
        <v>20569.240000000002</v>
      </c>
      <c r="F35" s="208">
        <f t="shared" si="2"/>
        <v>0</v>
      </c>
      <c r="G35" s="208"/>
      <c r="H35" s="209">
        <f>SUM(H33:H34)</f>
        <v>51134.62000000001</v>
      </c>
      <c r="I35" s="9"/>
    </row>
    <row r="36" spans="1:11" s="54" customFormat="1" ht="16" thickTop="1">
      <c r="B36" s="12"/>
      <c r="C36" s="10"/>
      <c r="D36" s="10"/>
      <c r="E36" s="10"/>
      <c r="F36" s="10"/>
      <c r="G36" s="10"/>
      <c r="H36" s="10"/>
      <c r="I36" s="12"/>
      <c r="J36" s="10"/>
      <c r="K36" s="14"/>
    </row>
    <row r="37" spans="1:11">
      <c r="I37" s="16" t="s">
        <v>7</v>
      </c>
    </row>
    <row r="38" spans="1:11">
      <c r="C38" s="16"/>
      <c r="D38" s="132"/>
    </row>
    <row r="39" spans="1:11">
      <c r="A39" s="14" t="s">
        <v>52</v>
      </c>
      <c r="C39" s="16"/>
    </row>
    <row r="40" spans="1:11">
      <c r="A40" s="14" t="s">
        <v>321</v>
      </c>
      <c r="B40" s="14">
        <f>-500</f>
        <v>-500</v>
      </c>
    </row>
    <row r="41" spans="1:11">
      <c r="A41" s="14" t="s">
        <v>134</v>
      </c>
      <c r="B41" s="14">
        <v>275</v>
      </c>
    </row>
    <row r="42" spans="1:11">
      <c r="A42" s="14" t="s">
        <v>322</v>
      </c>
      <c r="B42" s="14">
        <v>225</v>
      </c>
    </row>
    <row r="43" spans="1:11">
      <c r="D43" s="5"/>
    </row>
    <row r="44" spans="1:11">
      <c r="D44" s="11"/>
    </row>
    <row r="48" spans="1:11">
      <c r="D48" s="14" t="s">
        <v>7</v>
      </c>
    </row>
  </sheetData>
  <sortState xmlns:xlrd2="http://schemas.microsoft.com/office/spreadsheetml/2017/richdata2" ref="A10:A28">
    <sortCondition ref="A5:A28"/>
  </sortState>
  <pageMargins left="0.7" right="0.7" top="0.75" bottom="0.75" header="0.3" footer="0.3"/>
  <pageSetup paperSize="9" scale="88" orientation="landscape" horizontalDpi="0" verticalDpi="0" copies="4"/>
  <ignoredErrors>
    <ignoredError sqref="H25 H1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86"/>
  <sheetViews>
    <sheetView zoomScale="80" zoomScaleNormal="80" zoomScalePageLayoutView="130" workbookViewId="0">
      <pane ySplit="3" topLeftCell="A41" activePane="bottomLeft" state="frozen"/>
      <selection pane="bottomLeft" activeCell="P60" sqref="P60"/>
    </sheetView>
  </sheetViews>
  <sheetFormatPr defaultColWidth="8.81640625" defaultRowHeight="15.5"/>
  <cols>
    <col min="1" max="1" width="32.6328125" style="187" customWidth="1"/>
    <col min="2" max="2" width="14" style="187" bestFit="1" customWidth="1"/>
    <col min="3" max="3" width="17.36328125" style="187" customWidth="1"/>
    <col min="4" max="4" width="17.6328125" style="187" customWidth="1"/>
    <col min="5" max="5" width="17.453125" style="187" hidden="1" customWidth="1"/>
    <col min="6" max="6" width="12" style="187" hidden="1" customWidth="1"/>
    <col min="7" max="7" width="51.1796875" style="187" hidden="1" customWidth="1"/>
    <col min="8" max="8" width="9.6328125" style="187" customWidth="1"/>
    <col min="9" max="11" width="12.6328125" style="187" bestFit="1" customWidth="1"/>
    <col min="12" max="12" width="10.453125" style="187" hidden="1" customWidth="1"/>
    <col min="13" max="13" width="12.6328125" style="187" bestFit="1" customWidth="1"/>
    <col min="14" max="14" width="12.1796875" style="187" bestFit="1" customWidth="1"/>
    <col min="15" max="16" width="12.6328125" style="187" bestFit="1" customWidth="1"/>
    <col min="17" max="17" width="12.36328125" style="187" customWidth="1"/>
    <col min="18" max="18" width="13.453125" style="187" customWidth="1"/>
    <col min="19" max="19" width="0.1796875" style="187" customWidth="1"/>
    <col min="20" max="20" width="3" style="187" customWidth="1"/>
    <col min="21" max="21" width="11" style="187" bestFit="1" customWidth="1"/>
    <col min="22" max="22" width="25.36328125" style="187" bestFit="1" customWidth="1"/>
    <col min="23" max="23" width="11.36328125" style="187" bestFit="1" customWidth="1"/>
    <col min="24" max="16384" width="8.81640625" style="187"/>
  </cols>
  <sheetData>
    <row r="1" spans="1:25" s="157" customFormat="1">
      <c r="A1" s="151" t="s">
        <v>262</v>
      </c>
      <c r="B1" s="152"/>
      <c r="C1" s="152"/>
      <c r="D1" s="153"/>
      <c r="E1" s="154"/>
      <c r="F1" s="155"/>
      <c r="G1" s="156"/>
      <c r="H1" s="156"/>
      <c r="I1" s="156"/>
      <c r="J1" s="156"/>
      <c r="R1" s="158"/>
      <c r="S1" s="158"/>
    </row>
    <row r="2" spans="1:25" s="157" customFormat="1">
      <c r="A2" s="23" t="s">
        <v>7</v>
      </c>
      <c r="B2" s="156"/>
      <c r="C2" s="156"/>
      <c r="D2" s="156"/>
      <c r="E2" s="156"/>
      <c r="F2" s="156"/>
      <c r="G2" s="156"/>
      <c r="H2" s="156"/>
      <c r="I2" s="156"/>
      <c r="J2" s="156"/>
      <c r="R2" s="158"/>
      <c r="S2" s="158"/>
    </row>
    <row r="3" spans="1:25" s="140" customFormat="1" ht="60" customHeight="1">
      <c r="A3" s="20" t="s">
        <v>10</v>
      </c>
      <c r="B3" s="59" t="s">
        <v>274</v>
      </c>
      <c r="C3" s="46" t="s">
        <v>275</v>
      </c>
      <c r="D3" s="59" t="s">
        <v>113</v>
      </c>
      <c r="E3" s="21" t="s">
        <v>109</v>
      </c>
      <c r="F3" s="58" t="s">
        <v>64</v>
      </c>
      <c r="G3" s="20" t="s">
        <v>21</v>
      </c>
      <c r="H3" s="20"/>
      <c r="I3" s="21" t="s">
        <v>114</v>
      </c>
      <c r="J3" s="21" t="s">
        <v>56</v>
      </c>
      <c r="K3" s="21" t="s">
        <v>46</v>
      </c>
      <c r="L3" s="21" t="s">
        <v>52</v>
      </c>
      <c r="M3" s="21" t="s">
        <v>41</v>
      </c>
      <c r="O3" s="46" t="s">
        <v>403</v>
      </c>
      <c r="P3" s="46" t="s">
        <v>404</v>
      </c>
      <c r="R3" s="159"/>
      <c r="W3" s="140" t="s">
        <v>7</v>
      </c>
      <c r="Y3" s="140" t="s">
        <v>7</v>
      </c>
    </row>
    <row r="4" spans="1:25" s="140" customFormat="1">
      <c r="A4" s="273" t="str">
        <f>'[1]Payments Receipts Cash Book'!L13</f>
        <v>Asset replacement</v>
      </c>
      <c r="B4" s="275">
        <f>'Payments Receipts Cash Book'!L80</f>
        <v>0</v>
      </c>
      <c r="C4" s="332">
        <f>3250-500</f>
        <v>2750</v>
      </c>
      <c r="D4" s="277">
        <f>C4-B4</f>
        <v>2750</v>
      </c>
      <c r="E4" s="162">
        <v>3000</v>
      </c>
      <c r="F4" s="163">
        <v>3000</v>
      </c>
      <c r="G4" s="160" t="s">
        <v>87</v>
      </c>
      <c r="H4" s="160"/>
      <c r="I4" s="164">
        <v>683.72</v>
      </c>
      <c r="J4" s="164">
        <v>1380.36</v>
      </c>
      <c r="K4" s="164">
        <v>781.67</v>
      </c>
      <c r="L4" s="36">
        <f>-92.5+-7.44</f>
        <v>-99.94</v>
      </c>
      <c r="M4" s="165">
        <v>0</v>
      </c>
      <c r="N4" s="224"/>
      <c r="O4" s="356">
        <f>C4*102%</f>
        <v>2805</v>
      </c>
      <c r="P4" s="356">
        <f>C4*103%</f>
        <v>2832.5</v>
      </c>
      <c r="Q4" s="159"/>
      <c r="R4" s="166"/>
      <c r="S4" s="159"/>
      <c r="T4" s="167"/>
      <c r="U4" s="140" t="s">
        <v>7</v>
      </c>
      <c r="W4" s="140" t="s">
        <v>7</v>
      </c>
      <c r="Y4" s="140" t="s">
        <v>7</v>
      </c>
    </row>
    <row r="5" spans="1:25" s="140" customFormat="1">
      <c r="A5" s="273" t="str">
        <f>'[1]Payments Receipts Cash Book'!M13</f>
        <v>Audit</v>
      </c>
      <c r="B5" s="275">
        <f>'Payments Receipts Cash Book'!M80</f>
        <v>518.54999999999995</v>
      </c>
      <c r="C5" s="276">
        <v>550</v>
      </c>
      <c r="D5" s="277">
        <f t="shared" ref="D5:D36" si="0">C5-B5</f>
        <v>31.450000000000045</v>
      </c>
      <c r="E5" s="162">
        <f>B5+240</f>
        <v>758.55</v>
      </c>
      <c r="F5" s="163">
        <f>240+SUM(158.55*111%)</f>
        <v>415.9905</v>
      </c>
      <c r="G5" s="160" t="s">
        <v>86</v>
      </c>
      <c r="H5" s="162"/>
      <c r="I5" s="164">
        <v>462.31</v>
      </c>
      <c r="J5" s="164">
        <v>158.55000000000001</v>
      </c>
      <c r="K5" s="164">
        <v>444</v>
      </c>
      <c r="L5" s="36"/>
      <c r="M5" s="164">
        <v>435</v>
      </c>
      <c r="N5" s="177"/>
      <c r="O5" s="356">
        <f t="shared" ref="O5:O41" si="1">C5*102%</f>
        <v>561</v>
      </c>
      <c r="P5" s="356">
        <f t="shared" ref="P5:P41" si="2">C5*103%</f>
        <v>566.5</v>
      </c>
      <c r="Q5" s="159"/>
      <c r="R5" s="166"/>
      <c r="T5" s="167"/>
      <c r="U5" s="140" t="s">
        <v>7</v>
      </c>
      <c r="W5" s="140" t="s">
        <v>7</v>
      </c>
      <c r="Y5" s="140" t="s">
        <v>18</v>
      </c>
    </row>
    <row r="6" spans="1:25" s="140" customFormat="1">
      <c r="A6" s="273" t="s">
        <v>145</v>
      </c>
      <c r="B6" s="275">
        <f>'Payments Receipts Cash Book'!N80</f>
        <v>0</v>
      </c>
      <c r="C6" s="276">
        <v>150</v>
      </c>
      <c r="D6" s="277">
        <f t="shared" si="0"/>
        <v>150</v>
      </c>
      <c r="E6" s="162"/>
      <c r="F6" s="163"/>
      <c r="G6" s="160"/>
      <c r="H6" s="162"/>
      <c r="I6" s="164">
        <v>80</v>
      </c>
      <c r="J6" s="164"/>
      <c r="K6" s="164"/>
      <c r="L6" s="36"/>
      <c r="M6" s="164"/>
      <c r="N6" s="177"/>
      <c r="O6" s="356">
        <f t="shared" si="1"/>
        <v>153</v>
      </c>
      <c r="P6" s="356">
        <f t="shared" si="2"/>
        <v>154.5</v>
      </c>
      <c r="Q6" s="159"/>
      <c r="R6" s="166"/>
      <c r="T6" s="167"/>
    </row>
    <row r="7" spans="1:25" s="140" customFormat="1">
      <c r="A7" s="273" t="str">
        <f>'[1]Payments Receipts Cash Book'!O13</f>
        <v>Bins</v>
      </c>
      <c r="B7" s="275">
        <f>'Payments Receipts Cash Book'!O80</f>
        <v>0</v>
      </c>
      <c r="C7" s="276">
        <v>600</v>
      </c>
      <c r="D7" s="277">
        <f t="shared" si="0"/>
        <v>600</v>
      </c>
      <c r="E7" s="162">
        <f>B7</f>
        <v>0</v>
      </c>
      <c r="F7" s="163">
        <f>B7*112%+0.24</f>
        <v>0.24</v>
      </c>
      <c r="G7" s="160" t="s">
        <v>106</v>
      </c>
      <c r="H7" s="162"/>
      <c r="I7" s="164">
        <v>577.69000000000005</v>
      </c>
      <c r="J7" s="164">
        <v>539.92999999999995</v>
      </c>
      <c r="K7" s="164">
        <v>539.92999999999995</v>
      </c>
      <c r="L7" s="36"/>
      <c r="M7" s="164">
        <v>524.27</v>
      </c>
      <c r="N7" s="245"/>
      <c r="O7" s="356">
        <f t="shared" si="1"/>
        <v>612</v>
      </c>
      <c r="P7" s="356">
        <f t="shared" si="2"/>
        <v>618</v>
      </c>
      <c r="Q7" s="159"/>
      <c r="T7" s="167"/>
      <c r="U7" s="140" t="s">
        <v>7</v>
      </c>
      <c r="W7" s="140" t="s">
        <v>7</v>
      </c>
      <c r="Y7" s="140" t="s">
        <v>7</v>
      </c>
    </row>
    <row r="8" spans="1:25" s="140" customFormat="1">
      <c r="A8" s="273" t="str">
        <f>'[1]Payments Receipts Cash Book'!P13</f>
        <v>BVN</v>
      </c>
      <c r="B8" s="275">
        <f>'Payments Receipts Cash Book'!P80</f>
        <v>928</v>
      </c>
      <c r="C8" s="276">
        <v>1450</v>
      </c>
      <c r="D8" s="277">
        <f t="shared" si="0"/>
        <v>522</v>
      </c>
      <c r="E8" s="162">
        <f>232*6</f>
        <v>1392</v>
      </c>
      <c r="F8" s="163">
        <f>138*6</f>
        <v>828</v>
      </c>
      <c r="G8" s="160" t="s">
        <v>85</v>
      </c>
      <c r="H8" s="160"/>
      <c r="I8" s="164">
        <v>1478</v>
      </c>
      <c r="J8" s="164">
        <v>1027</v>
      </c>
      <c r="K8" s="164">
        <v>507</v>
      </c>
      <c r="L8" s="36"/>
      <c r="M8" s="165">
        <v>1128</v>
      </c>
      <c r="N8" s="160"/>
      <c r="O8" s="356">
        <f t="shared" si="1"/>
        <v>1479</v>
      </c>
      <c r="P8" s="356">
        <f t="shared" si="2"/>
        <v>1493.5</v>
      </c>
      <c r="Q8" s="159"/>
      <c r="T8" s="167"/>
    </row>
    <row r="9" spans="1:25" s="140" customFormat="1">
      <c r="A9" s="273" t="str">
        <f>'[1]Payments Receipts Cash Book'!Q13</f>
        <v>CSW</v>
      </c>
      <c r="B9" s="275">
        <v>0</v>
      </c>
      <c r="C9" s="276">
        <v>600</v>
      </c>
      <c r="D9" s="277">
        <f t="shared" si="0"/>
        <v>600</v>
      </c>
      <c r="E9" s="162">
        <f>C9</f>
        <v>600</v>
      </c>
      <c r="F9" s="163">
        <v>1000</v>
      </c>
      <c r="G9" s="160" t="s">
        <v>98</v>
      </c>
      <c r="H9" s="160"/>
      <c r="I9" s="164">
        <v>332.5</v>
      </c>
      <c r="J9" s="164">
        <v>16.8</v>
      </c>
      <c r="K9" s="164">
        <v>0</v>
      </c>
      <c r="L9" s="36">
        <v>100</v>
      </c>
      <c r="M9" s="165">
        <v>0</v>
      </c>
      <c r="N9" s="160"/>
      <c r="O9" s="356">
        <f t="shared" si="1"/>
        <v>612</v>
      </c>
      <c r="P9" s="356">
        <f t="shared" si="2"/>
        <v>618</v>
      </c>
      <c r="Q9" s="159"/>
      <c r="T9" s="167"/>
      <c r="U9" s="140" t="s">
        <v>18</v>
      </c>
      <c r="W9" s="140" t="s">
        <v>7</v>
      </c>
      <c r="Y9" s="140" t="s">
        <v>7</v>
      </c>
    </row>
    <row r="10" spans="1:25" s="140" customFormat="1">
      <c r="A10" s="343" t="s">
        <v>368</v>
      </c>
      <c r="B10" s="275">
        <f>'Payments Receipts Cash Book'!Q80</f>
        <v>451.2</v>
      </c>
      <c r="C10" s="276">
        <v>0</v>
      </c>
      <c r="D10" s="277">
        <f t="shared" si="0"/>
        <v>-451.2</v>
      </c>
      <c r="E10" s="162"/>
      <c r="F10" s="163"/>
      <c r="G10" s="160"/>
      <c r="H10" s="160"/>
      <c r="I10" s="164"/>
      <c r="J10" s="164"/>
      <c r="K10" s="164"/>
      <c r="L10" s="36"/>
      <c r="M10" s="165"/>
      <c r="N10" s="343"/>
      <c r="O10" s="356">
        <f t="shared" si="1"/>
        <v>0</v>
      </c>
      <c r="P10" s="356">
        <f t="shared" si="2"/>
        <v>0</v>
      </c>
      <c r="Q10" s="159"/>
      <c r="T10" s="167"/>
      <c r="U10" s="140" t="s">
        <v>7</v>
      </c>
      <c r="W10" s="140" t="s">
        <v>7</v>
      </c>
      <c r="Y10" s="140" t="s">
        <v>7</v>
      </c>
    </row>
    <row r="11" spans="1:25" s="140" customFormat="1">
      <c r="A11" s="273" t="str">
        <f>'[1]Payments Receipts Cash Book'!R13</f>
        <v xml:space="preserve">Data Protection </v>
      </c>
      <c r="B11" s="275">
        <f>'Payments Receipts Cash Book'!R80</f>
        <v>35</v>
      </c>
      <c r="C11" s="276">
        <v>40</v>
      </c>
      <c r="D11" s="277">
        <f t="shared" si="0"/>
        <v>5</v>
      </c>
      <c r="E11" s="162">
        <v>35</v>
      </c>
      <c r="F11" s="163">
        <f>35*111%</f>
        <v>38.85</v>
      </c>
      <c r="G11" s="160" t="s">
        <v>65</v>
      </c>
      <c r="H11" s="162"/>
      <c r="I11" s="164">
        <v>35</v>
      </c>
      <c r="J11" s="164">
        <v>35</v>
      </c>
      <c r="K11" s="164">
        <v>40</v>
      </c>
      <c r="L11" s="36">
        <v>3.66</v>
      </c>
      <c r="M11" s="165">
        <v>40</v>
      </c>
      <c r="N11" s="177"/>
      <c r="O11" s="356">
        <v>41</v>
      </c>
      <c r="P11" s="356">
        <f t="shared" si="2"/>
        <v>41.2</v>
      </c>
      <c r="Q11" s="159"/>
      <c r="T11" s="167"/>
      <c r="U11" s="140" t="s">
        <v>7</v>
      </c>
      <c r="W11" s="140" t="s">
        <v>7</v>
      </c>
      <c r="Y11" s="140" t="s">
        <v>7</v>
      </c>
    </row>
    <row r="12" spans="1:25" s="140" customFormat="1">
      <c r="A12" s="346" t="s">
        <v>367</v>
      </c>
      <c r="B12" s="275">
        <f>'Payments Receipts Cash Book'!S80</f>
        <v>1250</v>
      </c>
      <c r="C12" s="276">
        <v>0</v>
      </c>
      <c r="D12" s="277">
        <f t="shared" si="0"/>
        <v>-1250</v>
      </c>
      <c r="E12" s="162"/>
      <c r="F12" s="163"/>
      <c r="G12" s="160"/>
      <c r="H12" s="162"/>
      <c r="I12" s="164"/>
      <c r="J12" s="164"/>
      <c r="K12" s="164"/>
      <c r="L12" s="36"/>
      <c r="M12" s="165"/>
      <c r="N12" s="346"/>
      <c r="O12" s="356">
        <f t="shared" si="1"/>
        <v>0</v>
      </c>
      <c r="P12" s="356">
        <f t="shared" si="2"/>
        <v>0</v>
      </c>
      <c r="Q12" s="159"/>
      <c r="T12" s="167"/>
    </row>
    <row r="13" spans="1:25" s="140" customFormat="1">
      <c r="A13" s="273" t="s">
        <v>72</v>
      </c>
      <c r="B13" s="275">
        <f>'Payments Receipts Cash Book'!T80</f>
        <v>396.1</v>
      </c>
      <c r="C13" s="276">
        <v>500</v>
      </c>
      <c r="D13" s="277">
        <f t="shared" si="0"/>
        <v>103.89999999999998</v>
      </c>
      <c r="E13" s="162">
        <f>C13</f>
        <v>500</v>
      </c>
      <c r="F13" s="163">
        <v>750</v>
      </c>
      <c r="G13" s="160" t="s">
        <v>87</v>
      </c>
      <c r="H13" s="160"/>
      <c r="I13" s="164">
        <v>96</v>
      </c>
      <c r="J13" s="164">
        <v>0</v>
      </c>
      <c r="K13" s="164">
        <v>0</v>
      </c>
      <c r="L13" s="36"/>
      <c r="M13" s="165">
        <v>286</v>
      </c>
      <c r="N13" s="224"/>
      <c r="O13" s="356">
        <f t="shared" si="1"/>
        <v>510</v>
      </c>
      <c r="P13" s="356">
        <f t="shared" si="2"/>
        <v>515</v>
      </c>
      <c r="Q13" s="159"/>
      <c r="T13" s="167"/>
      <c r="U13" s="140" t="s">
        <v>7</v>
      </c>
      <c r="W13" s="140" t="s">
        <v>7</v>
      </c>
      <c r="Y13" s="140" t="s">
        <v>7</v>
      </c>
    </row>
    <row r="14" spans="1:25" s="140" customFormat="1">
      <c r="A14" s="273" t="str">
        <f>'[1]Payments Receipts Cash Book'!U13</f>
        <v>Election</v>
      </c>
      <c r="B14" s="275">
        <v>0</v>
      </c>
      <c r="C14" s="276">
        <v>50</v>
      </c>
      <c r="D14" s="277">
        <f t="shared" si="0"/>
        <v>50</v>
      </c>
      <c r="E14" s="162">
        <v>213.75</v>
      </c>
      <c r="F14" s="163"/>
      <c r="G14" s="160"/>
      <c r="H14" s="162"/>
      <c r="I14" s="164">
        <v>213.75</v>
      </c>
      <c r="J14" s="164"/>
      <c r="K14" s="164"/>
      <c r="L14" s="36"/>
      <c r="M14" s="165"/>
      <c r="N14" s="224"/>
      <c r="O14" s="356">
        <f t="shared" si="1"/>
        <v>51</v>
      </c>
      <c r="P14" s="356">
        <f t="shared" si="2"/>
        <v>51.5</v>
      </c>
      <c r="Q14" s="159"/>
      <c r="T14" s="167"/>
    </row>
    <row r="15" spans="1:25" s="140" customFormat="1">
      <c r="A15" s="273" t="s">
        <v>136</v>
      </c>
      <c r="B15" s="275">
        <v>0</v>
      </c>
      <c r="C15" s="276">
        <v>120</v>
      </c>
      <c r="D15" s="277">
        <f t="shared" si="0"/>
        <v>120</v>
      </c>
      <c r="E15" s="162">
        <v>3000</v>
      </c>
      <c r="F15" s="163">
        <v>2000</v>
      </c>
      <c r="G15" s="160" t="s">
        <v>87</v>
      </c>
      <c r="H15" s="160"/>
      <c r="I15" s="164">
        <v>2034.2</v>
      </c>
      <c r="J15" s="164">
        <v>3812.63</v>
      </c>
      <c r="K15" s="164">
        <v>3000</v>
      </c>
      <c r="L15" s="36"/>
      <c r="M15" s="165">
        <v>0</v>
      </c>
      <c r="N15" s="224"/>
      <c r="O15" s="356">
        <v>120</v>
      </c>
      <c r="P15" s="356">
        <f t="shared" si="2"/>
        <v>123.60000000000001</v>
      </c>
      <c r="Q15" s="159"/>
      <c r="T15" s="167"/>
    </row>
    <row r="16" spans="1:25" s="148" customFormat="1" ht="18" customHeight="1">
      <c r="A16" s="346" t="s">
        <v>322</v>
      </c>
      <c r="B16" s="275">
        <f>'Payments Receipts Cash Book'!U80</f>
        <v>3603.36</v>
      </c>
      <c r="C16" s="276">
        <v>0</v>
      </c>
      <c r="D16" s="277">
        <f t="shared" si="0"/>
        <v>-3603.36</v>
      </c>
      <c r="E16" s="162"/>
      <c r="F16" s="163"/>
      <c r="G16" s="160"/>
      <c r="H16" s="160"/>
      <c r="I16" s="164"/>
      <c r="J16" s="164"/>
      <c r="K16" s="164"/>
      <c r="L16" s="36"/>
      <c r="M16" s="165"/>
      <c r="N16" s="346"/>
      <c r="O16" s="356">
        <f t="shared" si="1"/>
        <v>0</v>
      </c>
      <c r="P16" s="356">
        <f t="shared" si="2"/>
        <v>0</v>
      </c>
      <c r="Q16" s="159"/>
      <c r="S16" s="140"/>
      <c r="T16" s="168"/>
      <c r="U16" s="148" t="s">
        <v>7</v>
      </c>
      <c r="W16" s="148" t="s">
        <v>7</v>
      </c>
      <c r="Y16" s="148" t="s">
        <v>18</v>
      </c>
    </row>
    <row r="17" spans="1:25" s="148" customFormat="1" ht="18" customHeight="1">
      <c r="A17" s="273" t="str">
        <f>'[1]Payments Receipts Cash Book'!V13</f>
        <v>Geese</v>
      </c>
      <c r="B17" s="275">
        <f>'Payments Receipts Cash Book'!V80</f>
        <v>14.5</v>
      </c>
      <c r="C17" s="276">
        <v>750</v>
      </c>
      <c r="D17" s="277">
        <f t="shared" si="0"/>
        <v>735.5</v>
      </c>
      <c r="E17" s="162">
        <v>1000</v>
      </c>
      <c r="F17" s="163">
        <v>250</v>
      </c>
      <c r="G17" s="160" t="s">
        <v>40</v>
      </c>
      <c r="H17" s="160"/>
      <c r="I17" s="164">
        <v>201.25</v>
      </c>
      <c r="J17" s="164">
        <v>938.26</v>
      </c>
      <c r="K17" s="164">
        <v>61</v>
      </c>
      <c r="L17" s="36"/>
      <c r="M17" s="165">
        <v>797</v>
      </c>
      <c r="N17" s="160"/>
      <c r="O17" s="356">
        <f t="shared" si="1"/>
        <v>765</v>
      </c>
      <c r="P17" s="356">
        <f t="shared" si="2"/>
        <v>772.5</v>
      </c>
      <c r="Q17" s="159"/>
      <c r="S17" s="140"/>
      <c r="T17" s="168"/>
    </row>
    <row r="18" spans="1:25" s="148" customFormat="1" ht="18" customHeight="1">
      <c r="A18" s="273" t="str">
        <f>'[1]Payments Receipts Cash Book'!W13</f>
        <v>Green Maintenance</v>
      </c>
      <c r="B18" s="275">
        <f>'Payments Receipts Cash Book'!W80</f>
        <v>2375</v>
      </c>
      <c r="C18" s="276">
        <v>2500</v>
      </c>
      <c r="D18" s="277">
        <f t="shared" si="0"/>
        <v>125</v>
      </c>
      <c r="E18" s="162">
        <v>0</v>
      </c>
      <c r="F18" s="163">
        <f>1000/4-37.5</f>
        <v>212.5</v>
      </c>
      <c r="G18" s="160" t="s">
        <v>88</v>
      </c>
      <c r="H18" s="160"/>
      <c r="I18" s="164">
        <v>144.71</v>
      </c>
      <c r="J18" s="164">
        <v>0</v>
      </c>
      <c r="K18" s="164">
        <v>0</v>
      </c>
      <c r="L18" s="36"/>
      <c r="M18" s="165">
        <v>0</v>
      </c>
      <c r="N18" s="177"/>
      <c r="O18" s="356">
        <f t="shared" si="1"/>
        <v>2550</v>
      </c>
      <c r="P18" s="356">
        <f t="shared" si="2"/>
        <v>2575</v>
      </c>
      <c r="Q18" s="159"/>
      <c r="S18" s="140"/>
      <c r="T18" s="168"/>
      <c r="U18" s="148" t="s">
        <v>7</v>
      </c>
      <c r="W18" s="148" t="s">
        <v>7</v>
      </c>
      <c r="Y18" s="148" t="s">
        <v>7</v>
      </c>
    </row>
    <row r="19" spans="1:25" s="148" customFormat="1" ht="18" customHeight="1">
      <c r="A19" s="273" t="str">
        <f>'[1]Payments Receipts Cash Book'!Y13</f>
        <v>Hire of Vestry</v>
      </c>
      <c r="B19" s="275">
        <f>'Payments Receipts Cash Book'!X80</f>
        <v>45</v>
      </c>
      <c r="C19" s="276">
        <v>250</v>
      </c>
      <c r="D19" s="277">
        <f t="shared" si="0"/>
        <v>205</v>
      </c>
      <c r="E19" s="162">
        <f>C19</f>
        <v>250</v>
      </c>
      <c r="F19" s="163">
        <v>750</v>
      </c>
      <c r="G19" s="160" t="s">
        <v>110</v>
      </c>
      <c r="H19" s="160"/>
      <c r="I19" s="164">
        <v>238.59</v>
      </c>
      <c r="J19" s="164">
        <v>458.29</v>
      </c>
      <c r="K19" s="164">
        <v>292.32</v>
      </c>
      <c r="L19" s="36"/>
      <c r="M19" s="165">
        <v>264.07</v>
      </c>
      <c r="N19" s="346"/>
      <c r="O19" s="356">
        <f t="shared" si="1"/>
        <v>255</v>
      </c>
      <c r="P19" s="356">
        <f t="shared" si="2"/>
        <v>257.5</v>
      </c>
      <c r="Q19" s="159"/>
      <c r="S19" s="140"/>
      <c r="T19" s="168"/>
      <c r="U19" s="148" t="s">
        <v>7</v>
      </c>
      <c r="W19" s="148" t="s">
        <v>7</v>
      </c>
      <c r="Y19" s="148" t="s">
        <v>7</v>
      </c>
    </row>
    <row r="20" spans="1:25" s="140" customFormat="1">
      <c r="A20" s="273" t="str">
        <f>'[1]Payments Receipts Cash Book'!AA13</f>
        <v>Insurance</v>
      </c>
      <c r="B20" s="275">
        <f>'Payments Receipts Cash Book'!Y80</f>
        <v>626.46</v>
      </c>
      <c r="C20" s="276">
        <v>700</v>
      </c>
      <c r="D20" s="277">
        <f t="shared" si="0"/>
        <v>73.539999999999964</v>
      </c>
      <c r="E20" s="162">
        <f>C20</f>
        <v>700</v>
      </c>
      <c r="F20" s="163">
        <v>2750</v>
      </c>
      <c r="G20" s="160" t="s">
        <v>89</v>
      </c>
      <c r="H20" s="160"/>
      <c r="I20" s="164">
        <v>3620.3</v>
      </c>
      <c r="J20" s="164">
        <v>1879</v>
      </c>
      <c r="K20" s="164">
        <v>1998</v>
      </c>
      <c r="L20" s="36"/>
      <c r="M20" s="165">
        <v>2943</v>
      </c>
      <c r="N20" s="160"/>
      <c r="O20" s="356">
        <f t="shared" si="1"/>
        <v>714</v>
      </c>
      <c r="P20" s="356">
        <f t="shared" si="2"/>
        <v>721</v>
      </c>
      <c r="Q20" s="159"/>
      <c r="S20" s="148"/>
      <c r="T20" s="167"/>
      <c r="U20" s="140" t="s">
        <v>7</v>
      </c>
      <c r="W20" s="140" t="s">
        <v>7</v>
      </c>
      <c r="Y20" s="140" t="s">
        <v>7</v>
      </c>
    </row>
    <row r="21" spans="1:25" s="140" customFormat="1">
      <c r="A21" s="273" t="str">
        <f>'[1]Payments Receipts Cash Book'!AC13</f>
        <v>Litter Pick</v>
      </c>
      <c r="B21" s="275">
        <f>'Payments Receipts Cash Book'!Z80</f>
        <v>131.66999999999999</v>
      </c>
      <c r="C21" s="276">
        <v>300</v>
      </c>
      <c r="D21" s="277">
        <f t="shared" si="0"/>
        <v>168.33</v>
      </c>
      <c r="E21" s="162">
        <f>C21</f>
        <v>300</v>
      </c>
      <c r="F21" s="163">
        <v>250</v>
      </c>
      <c r="G21" s="160" t="s">
        <v>103</v>
      </c>
      <c r="H21" s="160"/>
      <c r="I21" s="164">
        <v>49.5</v>
      </c>
      <c r="J21" s="164">
        <v>165</v>
      </c>
      <c r="K21" s="164">
        <v>99.96</v>
      </c>
      <c r="L21" s="36">
        <v>-50</v>
      </c>
      <c r="M21" s="165">
        <v>10</v>
      </c>
      <c r="N21" s="160"/>
      <c r="O21" s="356">
        <f t="shared" si="1"/>
        <v>306</v>
      </c>
      <c r="P21" s="356">
        <f t="shared" si="2"/>
        <v>309</v>
      </c>
      <c r="Q21" s="159"/>
      <c r="T21" s="167"/>
      <c r="U21" s="140" t="s">
        <v>7</v>
      </c>
      <c r="W21" s="140" t="s">
        <v>7</v>
      </c>
      <c r="Y21" s="140" t="s">
        <v>7</v>
      </c>
    </row>
    <row r="22" spans="1:25" s="140" customFormat="1">
      <c r="A22" s="273" t="str">
        <f>'[1]Payments Receipts Cash Book'!AD13</f>
        <v>Mileage</v>
      </c>
      <c r="B22" s="275">
        <f>'Payments Receipts Cash Book'!AA80</f>
        <v>29.16</v>
      </c>
      <c r="C22" s="276">
        <v>75</v>
      </c>
      <c r="D22" s="277">
        <f t="shared" si="0"/>
        <v>45.84</v>
      </c>
      <c r="E22" s="162">
        <f>B22</f>
        <v>29.16</v>
      </c>
      <c r="F22" s="163">
        <f>B22*111%</f>
        <v>32.367600000000003</v>
      </c>
      <c r="G22" s="160" t="s">
        <v>66</v>
      </c>
      <c r="H22" s="162"/>
      <c r="I22" s="164">
        <v>637.14</v>
      </c>
      <c r="J22" s="164">
        <v>572.42999999999995</v>
      </c>
      <c r="K22" s="164">
        <v>401.25</v>
      </c>
      <c r="L22" s="36"/>
      <c r="M22" s="165">
        <v>997.82</v>
      </c>
      <c r="N22" s="160"/>
      <c r="O22" s="356">
        <v>80</v>
      </c>
      <c r="P22" s="356">
        <f t="shared" si="2"/>
        <v>77.25</v>
      </c>
      <c r="Q22" s="159"/>
      <c r="T22" s="167"/>
      <c r="U22" s="140" t="s">
        <v>18</v>
      </c>
      <c r="W22" s="140" t="s">
        <v>7</v>
      </c>
      <c r="Y22" s="140" t="s">
        <v>7</v>
      </c>
    </row>
    <row r="23" spans="1:25" s="140" customFormat="1">
      <c r="A23" s="322" t="s">
        <v>6</v>
      </c>
      <c r="B23" s="323">
        <f>'Payments Receipts Cash Book'!AB80</f>
        <v>225</v>
      </c>
      <c r="C23" s="333">
        <f>225</f>
        <v>225</v>
      </c>
      <c r="D23" s="325">
        <f t="shared" si="0"/>
        <v>0</v>
      </c>
      <c r="E23" s="162">
        <f>B23</f>
        <v>225</v>
      </c>
      <c r="F23" s="163">
        <f>120*111%</f>
        <v>133.20000000000002</v>
      </c>
      <c r="G23" s="160" t="s">
        <v>66</v>
      </c>
      <c r="H23" s="162"/>
      <c r="I23" s="164">
        <v>120</v>
      </c>
      <c r="J23" s="164">
        <v>120</v>
      </c>
      <c r="K23" s="164">
        <v>186</v>
      </c>
      <c r="L23" s="36">
        <v>-78.5</v>
      </c>
      <c r="M23" s="165">
        <v>100</v>
      </c>
      <c r="N23" s="160"/>
      <c r="O23" s="356">
        <v>0</v>
      </c>
      <c r="P23" s="356">
        <f t="shared" si="2"/>
        <v>231.75</v>
      </c>
      <c r="Q23" s="159"/>
      <c r="T23" s="167"/>
      <c r="U23" s="140" t="s">
        <v>7</v>
      </c>
      <c r="W23" s="140" t="s">
        <v>18</v>
      </c>
      <c r="Y23" s="140" t="s">
        <v>7</v>
      </c>
    </row>
    <row r="24" spans="1:25" s="140" customFormat="1">
      <c r="A24" s="273" t="s">
        <v>84</v>
      </c>
      <c r="B24" s="275">
        <f>'Payments Receipts Cash Book'!AC80</f>
        <v>90</v>
      </c>
      <c r="C24" s="276">
        <v>500</v>
      </c>
      <c r="D24" s="277">
        <f t="shared" si="0"/>
        <v>410</v>
      </c>
      <c r="E24" s="162">
        <f>B24*2</f>
        <v>180</v>
      </c>
      <c r="F24" s="163">
        <v>255</v>
      </c>
      <c r="G24" s="160" t="s">
        <v>90</v>
      </c>
      <c r="H24" s="160"/>
      <c r="I24" s="164">
        <v>237.04</v>
      </c>
      <c r="J24" s="164">
        <v>121.9</v>
      </c>
      <c r="K24" s="164">
        <v>248.73</v>
      </c>
      <c r="L24" s="36">
        <v>5</v>
      </c>
      <c r="M24" s="165">
        <v>447.91</v>
      </c>
      <c r="N24" s="160"/>
      <c r="O24" s="356">
        <f t="shared" si="1"/>
        <v>510</v>
      </c>
      <c r="P24" s="356">
        <f t="shared" si="2"/>
        <v>515</v>
      </c>
      <c r="Q24" s="159"/>
      <c r="T24" s="167"/>
    </row>
    <row r="25" spans="1:25" s="140" customFormat="1">
      <c r="A25" s="273" t="str">
        <f>'[1]Payments Receipts Cash Book'!AF13</f>
        <v>Office</v>
      </c>
      <c r="B25" s="275">
        <f>'Payments Receipts Cash Book'!AD80</f>
        <v>662.28</v>
      </c>
      <c r="C25" s="276">
        <v>312</v>
      </c>
      <c r="D25" s="277">
        <f t="shared" si="0"/>
        <v>-350.28</v>
      </c>
      <c r="E25" s="162">
        <f>B25*2.5</f>
        <v>1655.6999999999998</v>
      </c>
      <c r="F25" s="163">
        <f>SUM(9.3*2)*6</f>
        <v>111.60000000000001</v>
      </c>
      <c r="G25" s="160" t="s">
        <v>91</v>
      </c>
      <c r="H25" s="160"/>
      <c r="I25" s="164">
        <v>71.91</v>
      </c>
      <c r="J25" s="164">
        <v>16.78</v>
      </c>
      <c r="K25" s="164">
        <v>87.03</v>
      </c>
      <c r="L25" s="36"/>
      <c r="M25" s="165">
        <v>40.5</v>
      </c>
      <c r="N25" s="160"/>
      <c r="O25" s="356">
        <f t="shared" si="1"/>
        <v>318.24</v>
      </c>
      <c r="P25" s="356">
        <f t="shared" si="2"/>
        <v>321.36</v>
      </c>
      <c r="Q25" s="159"/>
      <c r="S25" s="23"/>
      <c r="T25" s="167"/>
      <c r="U25" s="140" t="s">
        <v>7</v>
      </c>
      <c r="W25" s="140" t="s">
        <v>7</v>
      </c>
      <c r="Y25" s="140" t="s">
        <v>7</v>
      </c>
    </row>
    <row r="26" spans="1:25" s="140" customFormat="1">
      <c r="A26" s="273" t="str">
        <f>'[1]Payments Receipts Cash Book'!AG13</f>
        <v>Play Equip Maint</v>
      </c>
      <c r="B26" s="275">
        <f>'Payments Receipts Cash Book'!AE80</f>
        <v>0</v>
      </c>
      <c r="C26" s="278">
        <v>300</v>
      </c>
      <c r="D26" s="277">
        <f t="shared" si="0"/>
        <v>300</v>
      </c>
      <c r="E26" s="162">
        <f>B26</f>
        <v>0</v>
      </c>
      <c r="F26" s="163">
        <v>520</v>
      </c>
      <c r="G26" s="160" t="s">
        <v>111</v>
      </c>
      <c r="H26" s="160"/>
      <c r="I26" s="164">
        <v>199.34</v>
      </c>
      <c r="J26" s="164">
        <v>810</v>
      </c>
      <c r="K26" s="164">
        <v>613.34</v>
      </c>
      <c r="L26" s="36"/>
      <c r="M26" s="165">
        <v>0</v>
      </c>
      <c r="N26" s="160"/>
      <c r="O26" s="356">
        <f t="shared" si="1"/>
        <v>306</v>
      </c>
      <c r="P26" s="356">
        <f t="shared" si="2"/>
        <v>309</v>
      </c>
      <c r="Q26" s="159"/>
      <c r="S26" s="23"/>
      <c r="T26" s="167"/>
      <c r="U26" s="140" t="s">
        <v>7</v>
      </c>
      <c r="W26" s="140" t="s">
        <v>7</v>
      </c>
      <c r="Y26" s="140" t="s">
        <v>7</v>
      </c>
    </row>
    <row r="27" spans="1:25" s="140" customFormat="1">
      <c r="A27" s="273" t="str">
        <f>'[1]Payments Receipts Cash Book'!AH13</f>
        <v>Play Inspection</v>
      </c>
      <c r="B27" s="275">
        <f>'Payments Receipts Cash Book'!AF80</f>
        <v>0</v>
      </c>
      <c r="C27" s="276">
        <v>110</v>
      </c>
      <c r="D27" s="277">
        <f t="shared" si="0"/>
        <v>110</v>
      </c>
      <c r="E27" s="162">
        <v>0</v>
      </c>
      <c r="F27" s="163">
        <v>0</v>
      </c>
      <c r="G27" s="160"/>
      <c r="H27" s="160"/>
      <c r="I27" s="164">
        <v>0</v>
      </c>
      <c r="J27" s="164">
        <v>0</v>
      </c>
      <c r="K27" s="164">
        <v>2042.99</v>
      </c>
      <c r="L27" s="36"/>
      <c r="M27" s="165">
        <v>3820.01</v>
      </c>
      <c r="N27" s="160"/>
      <c r="O27" s="356">
        <v>115</v>
      </c>
      <c r="P27" s="356">
        <f t="shared" si="2"/>
        <v>113.3</v>
      </c>
      <c r="Q27" s="159"/>
      <c r="T27" s="167"/>
      <c r="U27" s="140" t="s">
        <v>7</v>
      </c>
      <c r="W27" s="140" t="s">
        <v>7</v>
      </c>
      <c r="Y27" s="140" t="s">
        <v>7</v>
      </c>
    </row>
    <row r="28" spans="1:25" s="140" customFormat="1">
      <c r="A28" s="343" t="s">
        <v>374</v>
      </c>
      <c r="B28" s="275">
        <f>'Payments Receipts Cash Book'!AG80</f>
        <v>228.34</v>
      </c>
      <c r="C28" s="276">
        <v>0</v>
      </c>
      <c r="D28" s="277">
        <f t="shared" si="0"/>
        <v>-228.34</v>
      </c>
      <c r="E28" s="162"/>
      <c r="F28" s="163"/>
      <c r="G28" s="160"/>
      <c r="H28" s="160"/>
      <c r="I28" s="164"/>
      <c r="J28" s="164"/>
      <c r="K28" s="164"/>
      <c r="L28" s="36"/>
      <c r="M28" s="165"/>
      <c r="N28" s="343"/>
      <c r="O28" s="356">
        <f t="shared" si="1"/>
        <v>0</v>
      </c>
      <c r="P28" s="356">
        <f t="shared" si="2"/>
        <v>0</v>
      </c>
      <c r="Q28" s="159"/>
      <c r="S28" s="169"/>
      <c r="T28" s="167"/>
      <c r="U28" s="140" t="s">
        <v>7</v>
      </c>
      <c r="W28" s="140" t="s">
        <v>7</v>
      </c>
      <c r="Y28" s="140" t="s">
        <v>7</v>
      </c>
    </row>
    <row r="29" spans="1:25" s="140" customFormat="1">
      <c r="A29" s="273" t="str">
        <f>'[1]Payments Receipts Cash Book'!T13</f>
        <v>Pond</v>
      </c>
      <c r="B29" s="275">
        <v>0</v>
      </c>
      <c r="C29" s="276">
        <v>250</v>
      </c>
      <c r="D29" s="277">
        <f t="shared" si="0"/>
        <v>250</v>
      </c>
      <c r="E29" s="162">
        <f>6*52</f>
        <v>312</v>
      </c>
      <c r="F29" s="163">
        <f>6*52</f>
        <v>312</v>
      </c>
      <c r="G29" s="160" t="s">
        <v>92</v>
      </c>
      <c r="H29" s="160"/>
      <c r="I29" s="164">
        <v>330</v>
      </c>
      <c r="J29" s="164">
        <v>375.12</v>
      </c>
      <c r="K29" s="164">
        <v>305</v>
      </c>
      <c r="L29" s="36"/>
      <c r="M29" s="165">
        <v>216</v>
      </c>
      <c r="O29" s="356">
        <f t="shared" si="1"/>
        <v>255</v>
      </c>
      <c r="P29" s="356">
        <f t="shared" si="2"/>
        <v>257.5</v>
      </c>
      <c r="Q29" s="159"/>
      <c r="S29" s="169"/>
      <c r="T29" s="167"/>
    </row>
    <row r="30" spans="1:25" s="140" customFormat="1">
      <c r="A30" s="322" t="s">
        <v>134</v>
      </c>
      <c r="B30" s="323">
        <f>'Payments Receipts Cash Book'!AK80</f>
        <v>229.41666666666669</v>
      </c>
      <c r="C30" s="324">
        <v>275</v>
      </c>
      <c r="D30" s="325">
        <f t="shared" si="0"/>
        <v>45.583333333333314</v>
      </c>
      <c r="E30" s="162">
        <v>0</v>
      </c>
      <c r="F30" s="163">
        <v>100</v>
      </c>
      <c r="G30" s="160" t="s">
        <v>93</v>
      </c>
      <c r="H30" s="160"/>
      <c r="I30" s="164">
        <v>0</v>
      </c>
      <c r="J30" s="164">
        <v>0</v>
      </c>
      <c r="K30" s="164">
        <v>0</v>
      </c>
      <c r="L30" s="36"/>
      <c r="M30" s="165">
        <v>0</v>
      </c>
      <c r="N30" s="326"/>
      <c r="O30" s="356">
        <f t="shared" si="1"/>
        <v>280.5</v>
      </c>
      <c r="P30" s="356">
        <f t="shared" si="2"/>
        <v>283.25</v>
      </c>
      <c r="Q30" s="159"/>
      <c r="S30" s="169"/>
      <c r="T30" s="167"/>
      <c r="U30" s="140" t="s">
        <v>7</v>
      </c>
      <c r="W30" s="140" t="s">
        <v>7</v>
      </c>
      <c r="Y30" s="140" t="s">
        <v>7</v>
      </c>
    </row>
    <row r="31" spans="1:25" s="140" customFormat="1">
      <c r="A31" s="273" t="str">
        <f>'[1]Payments Receipts Cash Book'!AJ13</f>
        <v>Salary</v>
      </c>
      <c r="B31" s="275">
        <f>'Payments Receipts Cash Book'!AH80</f>
        <v>5061.2600000000011</v>
      </c>
      <c r="C31" s="276">
        <v>8850.4</v>
      </c>
      <c r="D31" s="277">
        <f t="shared" si="0"/>
        <v>3789.1399999999985</v>
      </c>
      <c r="E31" s="162">
        <f>C31</f>
        <v>8850.4</v>
      </c>
      <c r="F31" s="163">
        <f>75</f>
        <v>75</v>
      </c>
      <c r="G31" s="160" t="s">
        <v>112</v>
      </c>
      <c r="H31" s="160"/>
      <c r="I31" s="164">
        <v>0</v>
      </c>
      <c r="J31" s="164">
        <v>52.06</v>
      </c>
      <c r="K31" s="164">
        <v>50.54</v>
      </c>
      <c r="L31" s="36">
        <v>-5</v>
      </c>
      <c r="M31" s="165">
        <v>50.68</v>
      </c>
      <c r="N31" s="273"/>
      <c r="O31" s="356">
        <v>9000</v>
      </c>
      <c r="P31" s="356">
        <f t="shared" si="2"/>
        <v>9115.9120000000003</v>
      </c>
      <c r="Q31" s="159"/>
      <c r="S31" s="169"/>
      <c r="T31" s="171"/>
      <c r="U31" s="140" t="s">
        <v>7</v>
      </c>
      <c r="W31" s="140" t="s">
        <v>7</v>
      </c>
      <c r="Y31" s="140" t="s">
        <v>7</v>
      </c>
    </row>
    <row r="32" spans="1:25" s="140" customFormat="1">
      <c r="A32" s="273" t="str">
        <f>'[1]Payments Receipts Cash Book'!AL13</f>
        <v>Stationery C/Man</v>
      </c>
      <c r="B32" s="275">
        <f>'Payments Receipts Cash Book'!AI80</f>
        <v>59.150000000000006</v>
      </c>
      <c r="C32" s="276">
        <v>100</v>
      </c>
      <c r="D32" s="277">
        <f t="shared" si="0"/>
        <v>40.849999999999994</v>
      </c>
      <c r="E32" s="162">
        <f>15.02*10*52</f>
        <v>7810.4</v>
      </c>
      <c r="F32" s="163">
        <f>14.5*520</f>
        <v>7540</v>
      </c>
      <c r="G32" s="160" t="s">
        <v>94</v>
      </c>
      <c r="H32" s="160"/>
      <c r="I32" s="164">
        <v>8566.64</v>
      </c>
      <c r="J32" s="164">
        <v>7085.65</v>
      </c>
      <c r="K32" s="164">
        <f>15+6207.28</f>
        <v>6222.28</v>
      </c>
      <c r="L32" s="36"/>
      <c r="M32" s="165">
        <f>56+3131.69</f>
        <v>3187.69</v>
      </c>
      <c r="N32" s="273"/>
      <c r="O32" s="356">
        <v>100</v>
      </c>
      <c r="P32" s="356">
        <f t="shared" si="2"/>
        <v>103</v>
      </c>
      <c r="Q32" s="159"/>
      <c r="S32" s="169"/>
      <c r="T32" s="171"/>
    </row>
    <row r="33" spans="1:25" s="140" customFormat="1">
      <c r="A33" s="273" t="s">
        <v>95</v>
      </c>
      <c r="B33" s="275">
        <v>0</v>
      </c>
      <c r="C33" s="276">
        <v>200</v>
      </c>
      <c r="D33" s="277">
        <f t="shared" si="0"/>
        <v>200</v>
      </c>
      <c r="E33" s="162">
        <f>88.94*2</f>
        <v>177.88</v>
      </c>
      <c r="F33" s="163">
        <v>75</v>
      </c>
      <c r="G33" s="160" t="s">
        <v>104</v>
      </c>
      <c r="H33" s="160"/>
      <c r="I33" s="164">
        <v>284.7</v>
      </c>
      <c r="J33" s="164">
        <v>62.87</v>
      </c>
      <c r="K33" s="164">
        <v>281.95</v>
      </c>
      <c r="L33" s="36"/>
      <c r="M33" s="165">
        <v>91.58</v>
      </c>
      <c r="N33" s="273"/>
      <c r="O33" s="356">
        <v>200</v>
      </c>
      <c r="P33" s="356">
        <f t="shared" si="2"/>
        <v>206</v>
      </c>
      <c r="Q33" s="159"/>
      <c r="S33" s="169"/>
      <c r="T33" s="171"/>
    </row>
    <row r="34" spans="1:25" s="140" customFormat="1">
      <c r="A34" s="273" t="str">
        <f>'[1]Payments Receipts Cash Book'!AN13</f>
        <v>Subscriptions</v>
      </c>
      <c r="B34" s="275">
        <f>'Payments Receipts Cash Book'!AJ80</f>
        <v>327.91</v>
      </c>
      <c r="C34" s="276">
        <v>350</v>
      </c>
      <c r="D34" s="277">
        <f t="shared" si="0"/>
        <v>22.089999999999975</v>
      </c>
      <c r="E34" s="162">
        <f>B34*2</f>
        <v>655.82</v>
      </c>
      <c r="F34" s="163">
        <v>100</v>
      </c>
      <c r="G34" s="160" t="s">
        <v>96</v>
      </c>
      <c r="H34" s="160"/>
      <c r="I34" s="164">
        <v>112.97</v>
      </c>
      <c r="J34" s="164">
        <v>42.99</v>
      </c>
      <c r="K34" s="164">
        <v>0</v>
      </c>
      <c r="L34" s="36">
        <v>-50</v>
      </c>
      <c r="M34" s="165">
        <v>0</v>
      </c>
      <c r="N34" s="273"/>
      <c r="O34" s="356">
        <v>360</v>
      </c>
      <c r="P34" s="356">
        <f t="shared" si="2"/>
        <v>360.5</v>
      </c>
      <c r="Q34" s="159"/>
      <c r="T34" s="167"/>
      <c r="U34" s="140" t="s">
        <v>7</v>
      </c>
      <c r="W34" s="140" t="s">
        <v>18</v>
      </c>
      <c r="Y34" s="140" t="s">
        <v>18</v>
      </c>
    </row>
    <row r="35" spans="1:25" s="140" customFormat="1">
      <c r="A35" s="273" t="s">
        <v>146</v>
      </c>
      <c r="B35" s="275">
        <f>'Payments Receipts Cash Book'!AL80</f>
        <v>490</v>
      </c>
      <c r="C35" s="276">
        <v>0</v>
      </c>
      <c r="D35" s="277">
        <f t="shared" si="0"/>
        <v>-490</v>
      </c>
      <c r="E35" s="162">
        <f>B35</f>
        <v>490</v>
      </c>
      <c r="F35" s="163">
        <f>341*111%</f>
        <v>378.51000000000005</v>
      </c>
      <c r="G35" s="160" t="s">
        <v>97</v>
      </c>
      <c r="H35" s="160"/>
      <c r="I35" s="164">
        <v>317.97000000000003</v>
      </c>
      <c r="J35" s="164">
        <v>409.29</v>
      </c>
      <c r="K35" s="164">
        <v>602.85</v>
      </c>
      <c r="L35" s="36">
        <v>174.78</v>
      </c>
      <c r="M35" s="170">
        <v>494.96</v>
      </c>
      <c r="N35" s="273"/>
      <c r="O35" s="356">
        <f t="shared" si="1"/>
        <v>0</v>
      </c>
      <c r="P35" s="356">
        <f t="shared" si="2"/>
        <v>0</v>
      </c>
      <c r="Q35" s="159"/>
      <c r="S35" s="169"/>
      <c r="T35" s="167"/>
      <c r="U35" s="140" t="s">
        <v>7</v>
      </c>
      <c r="W35" s="140" t="s">
        <v>18</v>
      </c>
      <c r="Y35" s="140" t="s">
        <v>7</v>
      </c>
    </row>
    <row r="36" spans="1:25" s="23" customFormat="1">
      <c r="A36" s="273" t="str">
        <f>'[1]Payments Receipts Cash Book'!AP13</f>
        <v>Training</v>
      </c>
      <c r="B36" s="275">
        <v>0</v>
      </c>
      <c r="C36" s="276">
        <v>100</v>
      </c>
      <c r="D36" s="277">
        <f t="shared" si="0"/>
        <v>100</v>
      </c>
      <c r="E36" s="162"/>
      <c r="F36" s="163"/>
      <c r="G36" s="160"/>
      <c r="H36" s="160"/>
      <c r="I36" s="164">
        <v>250</v>
      </c>
      <c r="J36" s="164"/>
      <c r="K36" s="164"/>
      <c r="L36" s="36"/>
      <c r="M36" s="170"/>
      <c r="O36" s="356">
        <v>100</v>
      </c>
      <c r="P36" s="356">
        <f t="shared" si="2"/>
        <v>103</v>
      </c>
      <c r="Q36" s="159"/>
      <c r="S36" s="26"/>
      <c r="T36" s="27"/>
      <c r="U36" s="23" t="s">
        <v>7</v>
      </c>
      <c r="W36" s="23" t="s">
        <v>7</v>
      </c>
    </row>
    <row r="37" spans="1:25" s="23" customFormat="1">
      <c r="A37" s="343" t="s">
        <v>375</v>
      </c>
      <c r="B37" s="275">
        <f>'Payments Receipts Cash Book'!AM80</f>
        <v>1400</v>
      </c>
      <c r="C37" s="276">
        <v>0</v>
      </c>
      <c r="D37" s="277">
        <f>C37-B37</f>
        <v>-1400</v>
      </c>
      <c r="E37" s="160"/>
      <c r="F37" s="160"/>
      <c r="G37" s="160"/>
      <c r="H37" s="160"/>
      <c r="I37" s="160"/>
      <c r="J37" s="160"/>
      <c r="K37" s="164"/>
      <c r="L37" s="40"/>
      <c r="M37" s="40"/>
      <c r="N37" s="343"/>
      <c r="O37" s="356"/>
      <c r="P37" s="356">
        <f t="shared" si="2"/>
        <v>0</v>
      </c>
      <c r="Q37" s="175"/>
      <c r="S37" s="26"/>
      <c r="T37" s="27"/>
    </row>
    <row r="38" spans="1:25" s="23" customFormat="1">
      <c r="A38" s="274" t="s">
        <v>296</v>
      </c>
      <c r="B38" s="275">
        <f>'Payments Receipts Cash Book'!AN80</f>
        <v>120</v>
      </c>
      <c r="C38" s="276">
        <v>0</v>
      </c>
      <c r="D38" s="277">
        <f t="shared" ref="D38" si="3">C38-B38</f>
        <v>-120</v>
      </c>
      <c r="E38" s="160"/>
      <c r="F38" s="160"/>
      <c r="G38" s="160"/>
      <c r="H38" s="160"/>
      <c r="I38" s="160"/>
      <c r="J38" s="160"/>
      <c r="K38" s="164"/>
      <c r="L38" s="40"/>
      <c r="M38" s="40"/>
      <c r="N38" s="274"/>
      <c r="O38" s="356">
        <f t="shared" si="1"/>
        <v>0</v>
      </c>
      <c r="P38" s="356">
        <f t="shared" si="2"/>
        <v>0</v>
      </c>
      <c r="Q38" s="175"/>
      <c r="S38" s="26"/>
      <c r="T38" s="27"/>
    </row>
    <row r="39" spans="1:25" s="23" customFormat="1">
      <c r="A39" s="273" t="s">
        <v>15</v>
      </c>
      <c r="B39" s="275">
        <v>0</v>
      </c>
      <c r="C39" s="276">
        <v>0</v>
      </c>
      <c r="D39" s="277">
        <f t="shared" ref="D39:D53" si="4">C39-B39</f>
        <v>0</v>
      </c>
      <c r="E39" s="162"/>
      <c r="F39" s="163"/>
      <c r="G39" s="160"/>
      <c r="H39" s="160"/>
      <c r="I39" s="164">
        <v>21202.720000000001</v>
      </c>
      <c r="J39" s="164"/>
      <c r="K39" s="164"/>
      <c r="L39" s="36"/>
      <c r="M39" s="170"/>
      <c r="N39" s="274"/>
      <c r="O39" s="356">
        <f t="shared" si="1"/>
        <v>0</v>
      </c>
      <c r="P39" s="356">
        <f t="shared" si="2"/>
        <v>0</v>
      </c>
      <c r="Q39" s="175"/>
      <c r="S39" s="26"/>
      <c r="T39" s="27"/>
    </row>
    <row r="40" spans="1:25" s="23" customFormat="1">
      <c r="A40" s="273" t="s">
        <v>148</v>
      </c>
      <c r="B40" s="275">
        <v>0</v>
      </c>
      <c r="C40" s="276">
        <v>0</v>
      </c>
      <c r="D40" s="277">
        <f t="shared" si="4"/>
        <v>0</v>
      </c>
      <c r="E40" s="162">
        <v>0</v>
      </c>
      <c r="F40" s="163">
        <v>100</v>
      </c>
      <c r="G40" s="160" t="s">
        <v>105</v>
      </c>
      <c r="H40" s="160"/>
      <c r="I40" s="164">
        <v>0</v>
      </c>
      <c r="J40" s="164">
        <v>0</v>
      </c>
      <c r="K40" s="164">
        <v>0</v>
      </c>
      <c r="L40" s="36"/>
      <c r="M40" s="165">
        <v>0</v>
      </c>
      <c r="N40" s="175"/>
      <c r="O40" s="356">
        <f t="shared" si="1"/>
        <v>0</v>
      </c>
      <c r="P40" s="356">
        <f t="shared" si="2"/>
        <v>0</v>
      </c>
      <c r="Q40" s="175"/>
      <c r="S40" s="26"/>
      <c r="T40" s="27"/>
    </row>
    <row r="41" spans="1:25" s="23" customFormat="1">
      <c r="A41" s="273" t="str">
        <f>'[1]Payments Receipts Cash Book'!Z13</f>
        <v>Wesbite</v>
      </c>
      <c r="B41" s="275">
        <v>0</v>
      </c>
      <c r="C41" s="276">
        <v>0</v>
      </c>
      <c r="D41" s="277">
        <f t="shared" si="4"/>
        <v>0</v>
      </c>
      <c r="E41" s="162">
        <f>D41</f>
        <v>0</v>
      </c>
      <c r="F41" s="163">
        <v>0</v>
      </c>
      <c r="G41" s="160" t="s">
        <v>67</v>
      </c>
      <c r="H41" s="160"/>
      <c r="I41" s="164">
        <v>1404.05</v>
      </c>
      <c r="J41" s="164">
        <v>926.12</v>
      </c>
      <c r="K41" s="164">
        <v>1577.76</v>
      </c>
      <c r="L41" s="36"/>
      <c r="M41" s="165">
        <v>1214.21</v>
      </c>
      <c r="N41" s="175"/>
      <c r="O41" s="356">
        <f t="shared" si="1"/>
        <v>0</v>
      </c>
      <c r="P41" s="356">
        <f t="shared" si="2"/>
        <v>0</v>
      </c>
      <c r="Q41" s="175"/>
      <c r="S41" s="26"/>
      <c r="T41" s="27"/>
    </row>
    <row r="42" spans="1:25" s="23" customFormat="1" ht="16" thickBot="1">
      <c r="A42" s="20" t="s">
        <v>19</v>
      </c>
      <c r="B42" s="275">
        <f>SUM(B4:B41)</f>
        <v>19297.356666666667</v>
      </c>
      <c r="C42" s="276">
        <f>SUM(C4:C41)</f>
        <v>22957.4</v>
      </c>
      <c r="D42" s="277">
        <f t="shared" si="4"/>
        <v>3660.0433333333349</v>
      </c>
      <c r="E42" s="42">
        <f>SUM(E4:E41)</f>
        <v>32135.66</v>
      </c>
      <c r="F42" s="55">
        <f>SUM(F4:F41)</f>
        <v>21978.258099999999</v>
      </c>
      <c r="G42" s="24"/>
      <c r="H42" s="24"/>
      <c r="I42" s="42">
        <f>SUM(I4:I41)</f>
        <v>43982.000000000007</v>
      </c>
      <c r="J42" s="42">
        <f>SUM(J4:J41)</f>
        <v>21006.030000000002</v>
      </c>
      <c r="K42" s="42">
        <f>SUM(K4:K41)</f>
        <v>20383.599999999999</v>
      </c>
      <c r="L42" s="37">
        <f>SUM(L4:L41)</f>
        <v>0</v>
      </c>
      <c r="M42" s="25">
        <f>SUM(M4:M41)</f>
        <v>17088.7</v>
      </c>
      <c r="N42" s="175"/>
      <c r="O42" s="30">
        <f>SUM(O4:O41)</f>
        <v>23158.739999999998</v>
      </c>
      <c r="P42" s="30">
        <f>SUM(P4:P41)</f>
        <v>23646.121999999999</v>
      </c>
      <c r="Q42" s="175"/>
      <c r="S42" s="26"/>
      <c r="T42" s="27"/>
    </row>
    <row r="43" spans="1:25" s="23" customFormat="1" ht="16" thickTop="1">
      <c r="A43" s="28" t="s">
        <v>38</v>
      </c>
      <c r="B43" s="275"/>
      <c r="C43" s="276"/>
      <c r="D43" s="277"/>
      <c r="E43" s="29"/>
      <c r="F43" s="29"/>
      <c r="G43" s="29"/>
      <c r="H43" s="29"/>
      <c r="I43" s="29"/>
      <c r="J43" s="29"/>
      <c r="K43" s="172"/>
      <c r="L43" s="173"/>
      <c r="M43" s="173"/>
      <c r="N43" s="175"/>
      <c r="O43" s="30"/>
      <c r="P43" s="30"/>
      <c r="Q43" s="175"/>
      <c r="S43" s="26"/>
      <c r="T43" s="27"/>
    </row>
    <row r="44" spans="1:25" s="23" customFormat="1" hidden="1">
      <c r="A44" s="20" t="s">
        <v>22</v>
      </c>
      <c r="B44" s="275">
        <v>0</v>
      </c>
      <c r="C44" s="276">
        <v>0</v>
      </c>
      <c r="D44" s="277">
        <f t="shared" si="4"/>
        <v>0</v>
      </c>
      <c r="E44" s="20"/>
      <c r="F44" s="20"/>
      <c r="G44" s="20"/>
      <c r="H44" s="20"/>
      <c r="I44" s="20"/>
      <c r="J44" s="20"/>
      <c r="K44" s="44">
        <v>-4615.83</v>
      </c>
      <c r="L44" s="38"/>
      <c r="M44" s="38"/>
      <c r="N44" s="174"/>
      <c r="O44" s="30"/>
      <c r="P44" s="30"/>
      <c r="Q44" s="175"/>
      <c r="S44" s="26"/>
      <c r="T44" s="27"/>
    </row>
    <row r="45" spans="1:25" s="23" customFormat="1" hidden="1">
      <c r="A45" s="160" t="s">
        <v>30</v>
      </c>
      <c r="B45" s="275">
        <v>0</v>
      </c>
      <c r="C45" s="276">
        <v>0</v>
      </c>
      <c r="D45" s="277">
        <f t="shared" si="4"/>
        <v>0</v>
      </c>
      <c r="E45" s="160"/>
      <c r="F45" s="160"/>
      <c r="G45" s="160"/>
      <c r="H45" s="160"/>
      <c r="I45" s="160"/>
      <c r="J45" s="160"/>
      <c r="K45" s="164">
        <v>665.83</v>
      </c>
      <c r="L45" s="39"/>
      <c r="M45" s="39"/>
      <c r="N45" s="31"/>
      <c r="O45" s="30"/>
      <c r="P45" s="30"/>
      <c r="Q45" s="175"/>
      <c r="S45" s="26"/>
      <c r="T45" s="27"/>
    </row>
    <row r="46" spans="1:25" s="23" customFormat="1" hidden="1">
      <c r="A46" s="160" t="s">
        <v>34</v>
      </c>
      <c r="B46" s="275">
        <v>0</v>
      </c>
      <c r="C46" s="276">
        <v>0</v>
      </c>
      <c r="D46" s="277">
        <f t="shared" si="4"/>
        <v>0</v>
      </c>
      <c r="E46" s="160"/>
      <c r="F46" s="160"/>
      <c r="G46" s="160"/>
      <c r="H46" s="160"/>
      <c r="I46" s="160"/>
      <c r="J46" s="160"/>
      <c r="K46" s="164">
        <v>1050</v>
      </c>
      <c r="L46" s="39"/>
      <c r="M46" s="39"/>
      <c r="N46" s="176"/>
      <c r="O46" s="30"/>
      <c r="P46" s="30"/>
      <c r="Q46" s="175"/>
      <c r="S46" s="26"/>
      <c r="T46" s="27"/>
    </row>
    <row r="47" spans="1:25" s="23" customFormat="1" hidden="1">
      <c r="A47" s="160" t="s">
        <v>33</v>
      </c>
      <c r="B47" s="275">
        <v>0</v>
      </c>
      <c r="C47" s="276">
        <v>0</v>
      </c>
      <c r="D47" s="277">
        <f t="shared" si="4"/>
        <v>0</v>
      </c>
      <c r="E47" s="160"/>
      <c r="F47" s="160"/>
      <c r="G47" s="160"/>
      <c r="H47" s="160"/>
      <c r="I47" s="160"/>
      <c r="J47" s="160"/>
      <c r="K47" s="164">
        <v>2900</v>
      </c>
      <c r="L47" s="40"/>
      <c r="M47" s="40"/>
      <c r="N47" s="176"/>
      <c r="O47" s="30"/>
      <c r="P47" s="30"/>
      <c r="Q47" s="175"/>
      <c r="S47" s="26"/>
      <c r="T47" s="27"/>
    </row>
    <row r="48" spans="1:25" s="23" customFormat="1" hidden="1">
      <c r="A48" s="160"/>
      <c r="B48" s="275">
        <v>0</v>
      </c>
      <c r="C48" s="276">
        <v>0</v>
      </c>
      <c r="D48" s="277">
        <f t="shared" si="4"/>
        <v>0</v>
      </c>
      <c r="E48" s="160"/>
      <c r="F48" s="160"/>
      <c r="G48" s="160"/>
      <c r="H48" s="160"/>
      <c r="I48" s="160"/>
      <c r="J48" s="160"/>
      <c r="K48" s="164"/>
      <c r="L48" s="40"/>
      <c r="M48" s="40"/>
      <c r="N48" s="176"/>
      <c r="O48" s="30"/>
      <c r="P48" s="30"/>
      <c r="Q48" s="175"/>
      <c r="S48" s="26"/>
      <c r="T48" s="27"/>
    </row>
    <row r="49" spans="1:21" s="23" customFormat="1" hidden="1">
      <c r="A49" s="20" t="s">
        <v>2</v>
      </c>
      <c r="B49" s="275">
        <v>0</v>
      </c>
      <c r="C49" s="276">
        <v>0</v>
      </c>
      <c r="D49" s="277">
        <f t="shared" si="4"/>
        <v>0</v>
      </c>
      <c r="E49" s="20"/>
      <c r="F49" s="20"/>
      <c r="G49" s="20"/>
      <c r="H49" s="20"/>
      <c r="I49" s="20"/>
      <c r="J49" s="20"/>
      <c r="K49" s="44">
        <v>-250</v>
      </c>
      <c r="L49" s="38"/>
      <c r="M49" s="38"/>
      <c r="N49" s="176"/>
      <c r="O49" s="30"/>
      <c r="P49" s="30"/>
      <c r="Q49" s="175"/>
      <c r="S49" s="26"/>
      <c r="T49" s="27"/>
    </row>
    <row r="50" spans="1:21" s="23" customFormat="1" ht="46.5" hidden="1">
      <c r="A50" s="177" t="s">
        <v>39</v>
      </c>
      <c r="B50" s="275">
        <v>0</v>
      </c>
      <c r="C50" s="276">
        <v>0</v>
      </c>
      <c r="D50" s="277">
        <f t="shared" si="4"/>
        <v>0</v>
      </c>
      <c r="E50" s="177"/>
      <c r="F50" s="177"/>
      <c r="G50" s="177"/>
      <c r="H50" s="177"/>
      <c r="I50" s="177"/>
      <c r="J50" s="177"/>
      <c r="K50" s="164"/>
      <c r="L50" s="39"/>
      <c r="M50" s="39"/>
      <c r="N50" s="31"/>
      <c r="O50" s="30"/>
      <c r="P50" s="30"/>
      <c r="Q50" s="175"/>
      <c r="S50" s="26"/>
      <c r="T50" s="27"/>
    </row>
    <row r="51" spans="1:21" s="23" customFormat="1" hidden="1">
      <c r="A51" s="160"/>
      <c r="B51" s="275">
        <v>0</v>
      </c>
      <c r="C51" s="276">
        <v>0</v>
      </c>
      <c r="D51" s="277">
        <f t="shared" si="4"/>
        <v>0</v>
      </c>
      <c r="E51" s="160"/>
      <c r="F51" s="160"/>
      <c r="G51" s="160"/>
      <c r="H51" s="160"/>
      <c r="I51" s="160"/>
      <c r="J51" s="160"/>
      <c r="K51" s="164"/>
      <c r="L51" s="39"/>
      <c r="M51" s="39"/>
      <c r="N51" s="176"/>
      <c r="O51" s="30"/>
      <c r="P51" s="30"/>
      <c r="Q51" s="175"/>
      <c r="S51" s="26"/>
      <c r="T51" s="27"/>
    </row>
    <row r="52" spans="1:21" s="23" customFormat="1" hidden="1">
      <c r="A52" s="20" t="s">
        <v>11</v>
      </c>
      <c r="B52" s="275">
        <v>0</v>
      </c>
      <c r="C52" s="276">
        <v>0</v>
      </c>
      <c r="D52" s="277">
        <f t="shared" si="4"/>
        <v>0</v>
      </c>
      <c r="E52" s="20"/>
      <c r="F52" s="20"/>
      <c r="G52" s="20"/>
      <c r="H52" s="20"/>
      <c r="I52" s="20"/>
      <c r="J52" s="20"/>
      <c r="K52" s="44">
        <v>-911.83</v>
      </c>
      <c r="L52" s="38"/>
      <c r="M52" s="38"/>
      <c r="N52" s="176"/>
      <c r="O52" s="30"/>
      <c r="P52" s="30"/>
      <c r="Q52" s="175"/>
      <c r="S52" s="26"/>
      <c r="T52" s="27"/>
    </row>
    <row r="53" spans="1:21" s="23" customFormat="1" hidden="1">
      <c r="A53" s="160" t="s">
        <v>37</v>
      </c>
      <c r="B53" s="275">
        <v>0</v>
      </c>
      <c r="C53" s="276">
        <v>0</v>
      </c>
      <c r="D53" s="277">
        <f t="shared" si="4"/>
        <v>0</v>
      </c>
      <c r="E53" s="160"/>
      <c r="F53" s="160"/>
      <c r="G53" s="160"/>
      <c r="H53" s="160"/>
      <c r="I53" s="160"/>
      <c r="J53" s="160"/>
      <c r="K53" s="164">
        <v>763.96</v>
      </c>
      <c r="L53" s="40"/>
      <c r="M53" s="40"/>
      <c r="N53" s="31"/>
      <c r="O53" s="30"/>
      <c r="P53" s="30"/>
      <c r="Q53" s="175"/>
      <c r="S53" s="26"/>
      <c r="T53" s="27"/>
    </row>
    <row r="54" spans="1:21" s="23" customFormat="1" hidden="1">
      <c r="A54" s="160" t="s">
        <v>36</v>
      </c>
      <c r="B54" s="160"/>
      <c r="C54" s="162"/>
      <c r="D54" s="160"/>
      <c r="E54" s="160"/>
      <c r="F54" s="160"/>
      <c r="G54" s="160"/>
      <c r="H54" s="160"/>
      <c r="I54" s="160"/>
      <c r="J54" s="160"/>
      <c r="K54" s="164">
        <v>133.35</v>
      </c>
      <c r="L54" s="40"/>
      <c r="M54" s="40"/>
      <c r="N54" s="176"/>
      <c r="O54" s="30"/>
      <c r="P54" s="30"/>
      <c r="Q54" s="175"/>
      <c r="S54" s="26"/>
      <c r="T54" s="27"/>
    </row>
    <row r="55" spans="1:21" s="140" customFormat="1" ht="36" hidden="1" customHeight="1">
      <c r="A55" s="160" t="s">
        <v>35</v>
      </c>
      <c r="B55" s="160"/>
      <c r="C55" s="162"/>
      <c r="D55" s="160"/>
      <c r="E55" s="160"/>
      <c r="F55" s="160"/>
      <c r="G55" s="160"/>
      <c r="H55" s="160"/>
      <c r="I55" s="160"/>
      <c r="J55" s="160"/>
      <c r="K55" s="164">
        <v>15</v>
      </c>
      <c r="L55" s="40"/>
      <c r="M55" s="40"/>
      <c r="N55" s="176"/>
      <c r="P55" s="169"/>
      <c r="Q55" s="140" t="s">
        <v>7</v>
      </c>
      <c r="S55" s="140" t="s">
        <v>7</v>
      </c>
      <c r="U55" s="140">
        <v>0</v>
      </c>
    </row>
    <row r="56" spans="1:21" s="140" customFormat="1" hidden="1">
      <c r="A56" s="160" t="s">
        <v>32</v>
      </c>
      <c r="B56" s="160"/>
      <c r="C56" s="162"/>
      <c r="D56" s="160"/>
      <c r="E56" s="160"/>
      <c r="F56" s="160"/>
      <c r="G56" s="160"/>
      <c r="H56" s="160"/>
      <c r="I56" s="160"/>
      <c r="J56" s="160"/>
      <c r="K56" s="164">
        <v>81.42</v>
      </c>
      <c r="L56" s="40"/>
      <c r="M56" s="40"/>
      <c r="N56" s="176"/>
      <c r="P56" s="169"/>
      <c r="Q56" s="140" t="s">
        <v>7</v>
      </c>
      <c r="S56" s="140" t="s">
        <v>7</v>
      </c>
      <c r="U56" s="140">
        <v>0</v>
      </c>
    </row>
    <row r="57" spans="1:21" s="140" customFormat="1" hidden="1">
      <c r="A57" s="160" t="s">
        <v>31</v>
      </c>
      <c r="B57" s="160"/>
      <c r="C57" s="162"/>
      <c r="D57" s="160"/>
      <c r="E57" s="160"/>
      <c r="F57" s="178"/>
      <c r="G57" s="178"/>
      <c r="H57" s="178"/>
      <c r="I57" s="178"/>
      <c r="J57" s="178"/>
      <c r="K57" s="179">
        <v>18.100000000000001</v>
      </c>
      <c r="L57" s="40"/>
      <c r="M57" s="40"/>
      <c r="N57" s="176"/>
      <c r="P57" s="169"/>
      <c r="Q57" s="140" t="s">
        <v>18</v>
      </c>
      <c r="S57" s="140" t="s">
        <v>7</v>
      </c>
      <c r="U57" s="140">
        <v>754.64</v>
      </c>
    </row>
    <row r="58" spans="1:21" s="140" customFormat="1">
      <c r="A58" s="175"/>
      <c r="B58" s="175" t="b">
        <f>B42='Payments Receipts Cash Book'!K80</f>
        <v>1</v>
      </c>
      <c r="C58" s="175">
        <f>B42-'Payments Receipts Cash Book'!K80</f>
        <v>0</v>
      </c>
      <c r="D58" s="175"/>
      <c r="E58" s="175">
        <f>C42-E42</f>
        <v>-9178.2599999999984</v>
      </c>
      <c r="G58" s="175"/>
      <c r="H58" s="175" t="s">
        <v>7</v>
      </c>
      <c r="K58" s="180"/>
      <c r="L58" s="40"/>
      <c r="M58" s="40"/>
      <c r="N58" s="181"/>
      <c r="O58" s="23" t="s">
        <v>405</v>
      </c>
      <c r="P58" s="169"/>
    </row>
    <row r="59" spans="1:21" s="140" customFormat="1">
      <c r="B59" s="175"/>
      <c r="C59" s="175"/>
      <c r="K59" s="180"/>
      <c r="L59" s="40"/>
      <c r="M59" s="40"/>
      <c r="N59" s="181"/>
      <c r="O59" s="341" t="s">
        <v>406</v>
      </c>
      <c r="P59" s="370" t="s">
        <v>407</v>
      </c>
    </row>
    <row r="60" spans="1:21" s="140" customFormat="1" ht="34.5" customHeight="1">
      <c r="A60" s="33" t="s">
        <v>4</v>
      </c>
      <c r="B60" s="59" t="s">
        <v>274</v>
      </c>
      <c r="C60" s="60" t="s">
        <v>275</v>
      </c>
      <c r="D60" s="59" t="s">
        <v>408</v>
      </c>
      <c r="E60" s="21" t="s">
        <v>109</v>
      </c>
      <c r="F60" s="58" t="s">
        <v>63</v>
      </c>
      <c r="G60" s="22"/>
      <c r="H60" s="22"/>
      <c r="I60" s="21" t="s">
        <v>114</v>
      </c>
      <c r="J60" s="21" t="s">
        <v>56</v>
      </c>
      <c r="K60" s="41" t="str">
        <f>K3</f>
        <v>Actual 2021/22</v>
      </c>
      <c r="L60" s="41" t="s">
        <v>41</v>
      </c>
      <c r="M60" s="41" t="s">
        <v>41</v>
      </c>
      <c r="O60" s="371">
        <f>C66*102%</f>
        <v>23824.548000000003</v>
      </c>
      <c r="P60" s="371">
        <f>C66*103%</f>
        <v>24058.122000000003</v>
      </c>
    </row>
    <row r="61" spans="1:21" s="140" customFormat="1">
      <c r="A61" s="182" t="s">
        <v>81</v>
      </c>
      <c r="B61" s="161">
        <f>'Payments Receipts Cash Book'!H13</f>
        <v>635.71</v>
      </c>
      <c r="C61" s="183">
        <v>0</v>
      </c>
      <c r="D61" s="161">
        <f t="shared" ref="D61:D68" si="5">B61-C61</f>
        <v>635.71</v>
      </c>
      <c r="E61" s="162">
        <f>B61</f>
        <v>635.71</v>
      </c>
      <c r="F61" s="163">
        <v>0</v>
      </c>
      <c r="G61" s="363" t="s">
        <v>102</v>
      </c>
      <c r="H61" s="160"/>
      <c r="I61" s="170">
        <v>11992.69</v>
      </c>
      <c r="J61" s="170">
        <v>0</v>
      </c>
      <c r="K61" s="170" t="s">
        <v>7</v>
      </c>
      <c r="L61" s="184">
        <v>495</v>
      </c>
      <c r="M61" s="185">
        <v>7258.46</v>
      </c>
      <c r="N61" s="159"/>
      <c r="O61" s="356"/>
      <c r="P61" s="356"/>
    </row>
    <row r="62" spans="1:21" s="140" customFormat="1">
      <c r="A62" s="182" t="s">
        <v>82</v>
      </c>
      <c r="B62" s="161">
        <f>'Payments Receipts Cash Book'!J13</f>
        <v>2100</v>
      </c>
      <c r="C62" s="183">
        <v>0</v>
      </c>
      <c r="D62" s="161">
        <f t="shared" si="5"/>
        <v>2100</v>
      </c>
      <c r="E62" s="162">
        <f t="shared" ref="E62:E68" si="6">B62</f>
        <v>2100</v>
      </c>
      <c r="F62" s="163">
        <v>0</v>
      </c>
      <c r="G62" s="364"/>
      <c r="H62" s="160"/>
      <c r="I62" s="170">
        <v>1000</v>
      </c>
      <c r="J62" s="170">
        <v>2950</v>
      </c>
      <c r="K62" s="170">
        <f>891+2000</f>
        <v>2891</v>
      </c>
      <c r="L62" s="184">
        <v>285.5</v>
      </c>
      <c r="M62" s="185">
        <v>0</v>
      </c>
      <c r="N62" s="159"/>
      <c r="O62" s="356"/>
      <c r="P62" s="169"/>
    </row>
    <row r="63" spans="1:21" s="140" customFormat="1">
      <c r="A63" s="182" t="s">
        <v>8</v>
      </c>
      <c r="B63" s="161">
        <f>'Bank Rec '!D10</f>
        <v>226.7</v>
      </c>
      <c r="C63" s="183">
        <v>0</v>
      </c>
      <c r="D63" s="161">
        <f t="shared" si="5"/>
        <v>226.7</v>
      </c>
      <c r="E63" s="162">
        <f t="shared" si="6"/>
        <v>226.7</v>
      </c>
      <c r="F63" s="163">
        <v>0</v>
      </c>
      <c r="G63" s="364"/>
      <c r="H63" s="160"/>
      <c r="I63" s="170">
        <v>151.77000000000001</v>
      </c>
      <c r="J63" s="170">
        <v>0.23</v>
      </c>
      <c r="K63" s="170" t="s">
        <v>7</v>
      </c>
      <c r="L63" s="184">
        <v>0</v>
      </c>
      <c r="M63" s="185">
        <v>0.03</v>
      </c>
      <c r="N63" s="159"/>
      <c r="O63" s="356"/>
      <c r="P63" s="169"/>
    </row>
    <row r="64" spans="1:21" s="23" customFormat="1">
      <c r="A64" s="182" t="s">
        <v>11</v>
      </c>
      <c r="B64" s="161">
        <f>'Payments Receipts Cash Book'!E10</f>
        <v>732.49</v>
      </c>
      <c r="C64" s="183">
        <v>0</v>
      </c>
      <c r="D64" s="161">
        <f t="shared" si="5"/>
        <v>732.49</v>
      </c>
      <c r="E64" s="162">
        <v>1000</v>
      </c>
      <c r="F64" s="163">
        <v>0</v>
      </c>
      <c r="G64" s="364"/>
      <c r="H64" s="160"/>
      <c r="I64" s="170">
        <v>40</v>
      </c>
      <c r="J64" s="170">
        <v>0</v>
      </c>
      <c r="K64" s="170" t="s">
        <v>7</v>
      </c>
      <c r="L64" s="184"/>
      <c r="M64" s="185"/>
      <c r="N64" s="159"/>
      <c r="O64" s="356"/>
      <c r="P64" s="26"/>
    </row>
    <row r="65" spans="1:19" s="23" customFormat="1">
      <c r="A65" s="182" t="s">
        <v>84</v>
      </c>
      <c r="B65" s="161">
        <v>0</v>
      </c>
      <c r="C65" s="183">
        <v>0</v>
      </c>
      <c r="D65" s="161">
        <f t="shared" si="5"/>
        <v>0</v>
      </c>
      <c r="E65" s="162">
        <f t="shared" si="6"/>
        <v>0</v>
      </c>
      <c r="F65" s="163">
        <v>0</v>
      </c>
      <c r="G65" s="364"/>
      <c r="H65" s="160"/>
      <c r="I65" s="170"/>
      <c r="J65" s="170">
        <v>0</v>
      </c>
      <c r="K65" s="170">
        <v>1200</v>
      </c>
      <c r="L65" s="184"/>
      <c r="M65" s="185">
        <v>4373.87</v>
      </c>
      <c r="N65" s="159"/>
      <c r="O65" s="356"/>
      <c r="P65" s="26"/>
    </row>
    <row r="66" spans="1:19" s="23" customFormat="1">
      <c r="A66" s="182" t="s">
        <v>3</v>
      </c>
      <c r="B66" s="161">
        <f>'Payments Receipts Cash Book'!G13</f>
        <v>23357.4</v>
      </c>
      <c r="C66" s="183">
        <v>23357.4</v>
      </c>
      <c r="D66" s="161">
        <f t="shared" si="5"/>
        <v>0</v>
      </c>
      <c r="E66" s="162">
        <f>C66</f>
        <v>23357.4</v>
      </c>
      <c r="F66" s="163">
        <f>C66</f>
        <v>23357.4</v>
      </c>
      <c r="G66" s="364"/>
      <c r="H66" s="162"/>
      <c r="I66" s="170">
        <v>23186.01</v>
      </c>
      <c r="J66" s="170">
        <v>23186.01</v>
      </c>
      <c r="K66" s="170">
        <v>16622</v>
      </c>
      <c r="L66" s="184"/>
      <c r="M66" s="185">
        <v>16622</v>
      </c>
      <c r="N66" s="159"/>
      <c r="O66" s="356"/>
      <c r="P66" s="26"/>
    </row>
    <row r="67" spans="1:19">
      <c r="A67" s="182" t="s">
        <v>144</v>
      </c>
      <c r="B67" s="161">
        <v>0</v>
      </c>
      <c r="C67" s="183">
        <v>0</v>
      </c>
      <c r="D67" s="161">
        <f t="shared" si="5"/>
        <v>0</v>
      </c>
      <c r="E67" s="162">
        <f t="shared" si="6"/>
        <v>0</v>
      </c>
      <c r="F67" s="163">
        <v>0</v>
      </c>
      <c r="G67" s="364"/>
      <c r="H67" s="160"/>
      <c r="I67" s="170"/>
      <c r="J67" s="170">
        <v>14590.23</v>
      </c>
      <c r="K67" s="170"/>
      <c r="L67" s="184"/>
      <c r="M67" s="185"/>
      <c r="N67" s="159"/>
      <c r="O67" s="356"/>
      <c r="P67" s="189"/>
    </row>
    <row r="68" spans="1:19">
      <c r="A68" s="182" t="s">
        <v>83</v>
      </c>
      <c r="B68" s="161">
        <f>'Payments Receipts Cash Book'!F13</f>
        <v>1404.05</v>
      </c>
      <c r="C68" s="183">
        <v>0</v>
      </c>
      <c r="D68" s="161">
        <f t="shared" si="5"/>
        <v>1404.05</v>
      </c>
      <c r="E68" s="162">
        <f t="shared" si="6"/>
        <v>1404.05</v>
      </c>
      <c r="F68" s="163">
        <v>0</v>
      </c>
      <c r="G68" s="365"/>
      <c r="H68" s="160"/>
      <c r="I68" s="170">
        <v>926.12</v>
      </c>
      <c r="J68" s="170">
        <v>1577.76</v>
      </c>
      <c r="K68" s="170">
        <v>1214.23</v>
      </c>
      <c r="L68" s="184">
        <v>0</v>
      </c>
      <c r="M68" s="185">
        <v>2032.87</v>
      </c>
      <c r="N68" s="159"/>
      <c r="O68" s="356"/>
      <c r="P68" s="189"/>
    </row>
    <row r="69" spans="1:19" ht="16" thickBot="1">
      <c r="A69" s="34" t="s">
        <v>20</v>
      </c>
      <c r="B69" s="48">
        <f>SUM(B61:B68)</f>
        <v>28456.350000000002</v>
      </c>
      <c r="C69" s="45">
        <f>SUM(C61:C68)</f>
        <v>23357.4</v>
      </c>
      <c r="D69" s="48">
        <f>SUM(D61:D68)</f>
        <v>5098.95</v>
      </c>
      <c r="E69" s="47">
        <f>SUM(E61:E68)</f>
        <v>28723.86</v>
      </c>
      <c r="F69" s="55">
        <f>SUM(F61:F68)</f>
        <v>23357.4</v>
      </c>
      <c r="G69" s="35"/>
      <c r="H69" s="35"/>
      <c r="I69" s="42">
        <f>SUM(I61:I68)</f>
        <v>37296.590000000004</v>
      </c>
      <c r="J69" s="42">
        <f>SUM(J61:J68)</f>
        <v>42304.23</v>
      </c>
      <c r="K69" s="42">
        <f>SUM(K61:K68)</f>
        <v>21927.23</v>
      </c>
      <c r="L69" s="43">
        <f>SUM(L61:L68)</f>
        <v>780.5</v>
      </c>
      <c r="M69" s="25">
        <f>SUM(M61:M68)</f>
        <v>30287.23</v>
      </c>
      <c r="N69" s="23"/>
      <c r="O69" s="369"/>
      <c r="P69" s="189"/>
    </row>
    <row r="70" spans="1:19" ht="16" thickTop="1">
      <c r="A70" s="56"/>
      <c r="B70" s="23" t="b">
        <f>B69='Bank Rec '!E11</f>
        <v>1</v>
      </c>
      <c r="C70" s="23"/>
      <c r="D70" s="56" t="s">
        <v>7</v>
      </c>
      <c r="E70" s="23"/>
      <c r="F70" s="23"/>
      <c r="G70" s="23"/>
      <c r="H70" s="23"/>
      <c r="I70" s="23"/>
      <c r="J70" s="23"/>
      <c r="K70" s="32" t="s">
        <v>7</v>
      </c>
      <c r="L70" s="30"/>
      <c r="M70" s="30"/>
      <c r="N70" s="23"/>
      <c r="O70" s="189"/>
      <c r="P70" s="189"/>
    </row>
    <row r="71" spans="1:19">
      <c r="A71" s="20" t="s">
        <v>107</v>
      </c>
      <c r="B71" s="186" t="s">
        <v>45</v>
      </c>
      <c r="C71" s="186" t="s">
        <v>55</v>
      </c>
      <c r="D71" s="186" t="s">
        <v>99</v>
      </c>
      <c r="E71" s="23"/>
      <c r="F71" s="56">
        <f>F69-F42</f>
        <v>1379.1419000000024</v>
      </c>
      <c r="G71" s="23"/>
      <c r="H71" s="23"/>
      <c r="I71" s="23"/>
      <c r="J71" s="23"/>
      <c r="K71" s="32"/>
      <c r="L71" s="30"/>
      <c r="M71" s="30"/>
      <c r="N71" s="23"/>
      <c r="O71" s="189"/>
      <c r="P71" s="189"/>
    </row>
    <row r="72" spans="1:19">
      <c r="A72" s="160" t="s">
        <v>100</v>
      </c>
      <c r="B72" s="186">
        <v>310.45</v>
      </c>
      <c r="C72" s="186">
        <v>311.18</v>
      </c>
      <c r="D72" s="186">
        <v>312.89</v>
      </c>
      <c r="E72" s="187">
        <f>D72-C72</f>
        <v>1.7099999999999795</v>
      </c>
      <c r="K72" s="188"/>
      <c r="L72" s="188"/>
      <c r="M72" s="188"/>
      <c r="N72" s="189"/>
      <c r="O72" s="189"/>
      <c r="P72" s="189"/>
    </row>
    <row r="73" spans="1:19">
      <c r="A73" s="160" t="s">
        <v>108</v>
      </c>
      <c r="B73" s="162">
        <f>K66/B72</f>
        <v>53.541633113222744</v>
      </c>
      <c r="C73" s="162">
        <f>B66/C72</f>
        <v>75.060736551192235</v>
      </c>
      <c r="D73" s="162">
        <f>F66/D72</f>
        <v>74.650516155837522</v>
      </c>
      <c r="G73" s="187" t="s">
        <v>7</v>
      </c>
      <c r="K73" s="188"/>
      <c r="L73" s="188"/>
      <c r="M73" s="188"/>
      <c r="N73" s="189"/>
      <c r="O73" s="189"/>
      <c r="P73" s="189"/>
    </row>
    <row r="74" spans="1:19">
      <c r="A74" s="160" t="s">
        <v>68</v>
      </c>
      <c r="B74" s="162"/>
      <c r="C74" s="162">
        <f>C73-B73</f>
        <v>21.519103437969491</v>
      </c>
      <c r="D74" s="162">
        <f>D73-C73</f>
        <v>-0.41022039535471322</v>
      </c>
      <c r="K74" s="188"/>
      <c r="L74" s="188"/>
      <c r="M74" s="188"/>
      <c r="N74" s="189"/>
      <c r="O74" s="189"/>
      <c r="P74" s="189"/>
      <c r="Q74" s="189"/>
      <c r="R74" s="189"/>
      <c r="S74" s="189"/>
    </row>
    <row r="75" spans="1:19">
      <c r="A75" s="140"/>
      <c r="B75" s="175"/>
      <c r="C75" s="140"/>
      <c r="D75" s="175"/>
      <c r="G75" s="188" t="s">
        <v>7</v>
      </c>
      <c r="K75" s="188"/>
      <c r="L75" s="188"/>
      <c r="M75" s="188"/>
      <c r="N75" s="189"/>
      <c r="O75" s="189"/>
      <c r="P75" s="189"/>
      <c r="Q75" s="189"/>
      <c r="R75" s="189"/>
      <c r="S75" s="189"/>
    </row>
    <row r="76" spans="1:19">
      <c r="A76" s="140" t="s">
        <v>101</v>
      </c>
      <c r="B76" s="140"/>
      <c r="C76" s="140"/>
      <c r="D76" s="140"/>
      <c r="G76" s="188"/>
      <c r="K76" s="188"/>
      <c r="L76" s="188"/>
      <c r="M76" s="188"/>
      <c r="N76" s="189"/>
      <c r="O76" s="189"/>
      <c r="P76" s="189"/>
      <c r="Q76" s="189"/>
      <c r="R76" s="189"/>
      <c r="S76" s="189"/>
    </row>
    <row r="77" spans="1:19">
      <c r="A77" s="140"/>
      <c r="B77" s="140"/>
      <c r="C77" s="140"/>
      <c r="D77" s="140"/>
      <c r="G77" s="188"/>
      <c r="K77" s="188"/>
      <c r="L77" s="188"/>
      <c r="M77" s="188"/>
      <c r="N77" s="189"/>
      <c r="O77" s="189"/>
      <c r="P77" s="189"/>
      <c r="Q77" s="189"/>
      <c r="R77" s="189"/>
      <c r="S77" s="189"/>
    </row>
    <row r="78" spans="1:19">
      <c r="B78" s="188" t="b">
        <f>B69='Bank Rec '!E11</f>
        <v>1</v>
      </c>
      <c r="E78" s="175"/>
      <c r="F78" s="190"/>
      <c r="G78" s="188" t="s">
        <v>7</v>
      </c>
      <c r="K78" s="188"/>
      <c r="L78" s="188"/>
      <c r="M78" s="188"/>
      <c r="N78" s="189"/>
      <c r="O78" s="189"/>
      <c r="P78" s="189"/>
      <c r="Q78" s="189"/>
      <c r="R78" s="189"/>
      <c r="S78" s="189"/>
    </row>
    <row r="79" spans="1:19">
      <c r="A79" s="334" t="s">
        <v>315</v>
      </c>
      <c r="B79" s="161">
        <f>-500</f>
        <v>-500</v>
      </c>
      <c r="K79" s="191"/>
      <c r="L79" s="189"/>
      <c r="N79" s="189"/>
      <c r="O79" s="189"/>
      <c r="P79" s="189"/>
      <c r="Q79" s="189"/>
      <c r="R79" s="189"/>
      <c r="S79" s="189"/>
    </row>
    <row r="80" spans="1:19">
      <c r="A80" s="335" t="s">
        <v>316</v>
      </c>
      <c r="B80" s="161">
        <f>225</f>
        <v>225</v>
      </c>
      <c r="K80" s="191"/>
      <c r="L80" s="189"/>
      <c r="N80" s="189"/>
      <c r="O80" s="189"/>
      <c r="P80" s="189"/>
      <c r="Q80" s="189"/>
      <c r="R80" s="189"/>
      <c r="S80" s="189"/>
    </row>
    <row r="81" spans="1:19">
      <c r="A81" s="335" t="s">
        <v>317</v>
      </c>
      <c r="B81" s="161">
        <f>275</f>
        <v>275</v>
      </c>
      <c r="K81" s="191"/>
      <c r="L81" s="189"/>
      <c r="N81" s="189"/>
      <c r="O81" s="189"/>
      <c r="P81" s="189"/>
      <c r="Q81" s="189"/>
      <c r="R81" s="189"/>
      <c r="S81" s="189"/>
    </row>
    <row r="82" spans="1:19">
      <c r="A82" s="335" t="s">
        <v>318</v>
      </c>
      <c r="B82" s="335"/>
      <c r="K82" s="191"/>
      <c r="L82" s="189"/>
      <c r="N82" s="189"/>
    </row>
    <row r="83" spans="1:19">
      <c r="K83" s="191"/>
      <c r="L83" s="189"/>
      <c r="N83" s="189"/>
    </row>
    <row r="84" spans="1:19">
      <c r="K84" s="191"/>
      <c r="L84" s="189"/>
      <c r="N84" s="189"/>
    </row>
    <row r="85" spans="1:19">
      <c r="K85" s="191"/>
      <c r="L85" s="189"/>
      <c r="N85" s="189"/>
    </row>
    <row r="86" spans="1:19">
      <c r="K86" s="191"/>
      <c r="L86" s="189"/>
      <c r="N86" s="189"/>
    </row>
  </sheetData>
  <sortState xmlns:xlrd2="http://schemas.microsoft.com/office/spreadsheetml/2017/richdata2" ref="A4:C41">
    <sortCondition ref="A4:A41"/>
  </sortState>
  <customSheetViews>
    <customSheetView guid="{D77C52FB-56C3-AF47-AD29-EE07F130855B}" scale="130" showPageBreaks="1" fitToPage="1" printArea="1" hiddenColumns="1" topLeftCell="A33">
      <selection activeCell="E42" sqref="E42"/>
      <pageMargins left="0.31" right="0.24" top="0.98" bottom="0.98" header="0.51" footer="0.51"/>
      <pageSetup paperSize="9" scale="66" orientation="landscape" copies="8" r:id="rId1"/>
      <headerFooter alignWithMargins="0"/>
    </customSheetView>
  </customSheetViews>
  <mergeCells count="1">
    <mergeCell ref="G61:G68"/>
  </mergeCells>
  <phoneticPr fontId="17" type="noConversion"/>
  <pageMargins left="0.7" right="0.7" top="0.75" bottom="0.75" header="0.3" footer="0.3"/>
  <pageSetup paperSize="9" scale="84" orientation="portrait" copies="4" r:id="rId2"/>
  <ignoredErrors>
    <ignoredError sqref="E13 E8 E66" formula="1"/>
  </ignoredError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98D17-E4A8-AF45-A6A5-38AAD0A251C2}">
  <sheetPr>
    <pageSetUpPr fitToPage="1"/>
  </sheetPr>
  <dimension ref="A1:M118"/>
  <sheetViews>
    <sheetView topLeftCell="A42" zoomScale="82" zoomScaleNormal="125" workbookViewId="0">
      <selection activeCell="I59" sqref="I59"/>
    </sheetView>
  </sheetViews>
  <sheetFormatPr defaultColWidth="10.81640625" defaultRowHeight="15.5"/>
  <cols>
    <col min="1" max="1" width="10.6328125" style="111" customWidth="1"/>
    <col min="2" max="2" width="33" style="15" bestFit="1" customWidth="1"/>
    <col min="3" max="3" width="29.81640625" style="88" bestFit="1" customWidth="1"/>
    <col min="4" max="4" width="13" style="96" bestFit="1" customWidth="1"/>
    <col min="5" max="5" width="12.90625" style="15" customWidth="1"/>
    <col min="6" max="6" width="10.1796875" style="15" customWidth="1"/>
    <col min="7" max="7" width="9.54296875" style="15" bestFit="1" customWidth="1"/>
    <col min="8" max="8" width="14.81640625" style="15" bestFit="1" customWidth="1"/>
    <col min="9" max="9" width="14.81640625" style="15" customWidth="1"/>
    <col min="10" max="10" width="14" style="15" bestFit="1" customWidth="1"/>
    <col min="11" max="16384" width="10.81640625" style="15"/>
  </cols>
  <sheetData>
    <row r="1" spans="1:13" ht="18.5">
      <c r="A1" s="95" t="s">
        <v>150</v>
      </c>
    </row>
    <row r="2" spans="1:13" ht="28" customHeight="1">
      <c r="A2" s="97"/>
    </row>
    <row r="3" spans="1:13" ht="18.5">
      <c r="A3" s="98"/>
    </row>
    <row r="4" spans="1:13" s="17" customFormat="1" ht="33" customHeight="1">
      <c r="A4" s="99" t="s">
        <v>151</v>
      </c>
      <c r="B4" s="100" t="s">
        <v>152</v>
      </c>
      <c r="C4" s="100" t="s">
        <v>153</v>
      </c>
      <c r="D4" s="101" t="s">
        <v>154</v>
      </c>
      <c r="E4" s="102" t="s">
        <v>155</v>
      </c>
      <c r="F4" s="102" t="s">
        <v>156</v>
      </c>
      <c r="G4" s="103" t="s">
        <v>157</v>
      </c>
      <c r="H4" s="102" t="s">
        <v>158</v>
      </c>
      <c r="I4" s="102" t="s">
        <v>257</v>
      </c>
      <c r="J4" s="103" t="s">
        <v>159</v>
      </c>
    </row>
    <row r="5" spans="1:13" s="14" customFormat="1">
      <c r="A5" s="104">
        <v>1</v>
      </c>
      <c r="B5" s="13" t="s">
        <v>160</v>
      </c>
      <c r="C5" s="13" t="s">
        <v>146</v>
      </c>
      <c r="D5" s="105" t="s">
        <v>161</v>
      </c>
      <c r="E5" s="106">
        <v>3184</v>
      </c>
      <c r="F5" s="349"/>
      <c r="G5" s="106"/>
      <c r="H5" s="106"/>
      <c r="I5" s="106">
        <f>E5</f>
        <v>3184</v>
      </c>
      <c r="J5" s="106">
        <v>7500</v>
      </c>
      <c r="K5" s="107"/>
      <c r="L5" s="107"/>
      <c r="M5" s="107"/>
    </row>
    <row r="6" spans="1:13" s="14" customFormat="1">
      <c r="A6" s="104">
        <v>2</v>
      </c>
      <c r="B6" s="13" t="s">
        <v>162</v>
      </c>
      <c r="C6" s="13" t="s">
        <v>163</v>
      </c>
      <c r="D6" s="105" t="s">
        <v>161</v>
      </c>
      <c r="E6" s="106"/>
      <c r="F6" s="349"/>
      <c r="G6" s="106"/>
      <c r="H6" s="106"/>
      <c r="I6" s="106">
        <f t="shared" ref="I6:I52" si="0">E6</f>
        <v>0</v>
      </c>
      <c r="J6" s="106">
        <v>5000</v>
      </c>
      <c r="K6" s="107"/>
      <c r="L6" s="107"/>
      <c r="M6" s="107"/>
    </row>
    <row r="7" spans="1:13" s="14" customFormat="1">
      <c r="A7" s="104">
        <v>3</v>
      </c>
      <c r="B7" s="13" t="s">
        <v>164</v>
      </c>
      <c r="C7" s="13" t="s">
        <v>165</v>
      </c>
      <c r="D7" s="108">
        <v>42614</v>
      </c>
      <c r="E7" s="106">
        <v>120</v>
      </c>
      <c r="F7" s="349"/>
      <c r="G7" s="106"/>
      <c r="H7" s="106"/>
      <c r="I7" s="106">
        <f t="shared" si="0"/>
        <v>120</v>
      </c>
      <c r="J7" s="106">
        <v>600</v>
      </c>
      <c r="K7" s="107"/>
      <c r="L7" s="107"/>
      <c r="M7" s="107"/>
    </row>
    <row r="8" spans="1:13" s="14" customFormat="1">
      <c r="A8" s="104">
        <v>4</v>
      </c>
      <c r="B8" s="13" t="s">
        <v>164</v>
      </c>
      <c r="C8" s="13" t="s">
        <v>166</v>
      </c>
      <c r="D8" s="105" t="s">
        <v>161</v>
      </c>
      <c r="E8" s="106">
        <v>431</v>
      </c>
      <c r="F8" s="349"/>
      <c r="G8" s="106"/>
      <c r="H8" s="106"/>
      <c r="I8" s="106">
        <f t="shared" si="0"/>
        <v>431</v>
      </c>
      <c r="J8" s="106">
        <v>600</v>
      </c>
      <c r="K8" s="107"/>
      <c r="L8" s="107"/>
      <c r="M8" s="107"/>
    </row>
    <row r="9" spans="1:13" s="14" customFormat="1">
      <c r="A9" s="104">
        <v>5</v>
      </c>
      <c r="B9" s="13" t="s">
        <v>164</v>
      </c>
      <c r="C9" s="13" t="s">
        <v>166</v>
      </c>
      <c r="D9" s="105" t="s">
        <v>7</v>
      </c>
      <c r="E9" s="106">
        <v>200</v>
      </c>
      <c r="F9" s="349"/>
      <c r="G9" s="106"/>
      <c r="H9" s="106"/>
      <c r="I9" s="106">
        <f t="shared" si="0"/>
        <v>200</v>
      </c>
      <c r="J9" s="106">
        <v>600</v>
      </c>
      <c r="K9" s="107"/>
      <c r="L9" s="107"/>
      <c r="M9" s="107"/>
    </row>
    <row r="10" spans="1:13" s="14" customFormat="1">
      <c r="A10" s="104">
        <v>6</v>
      </c>
      <c r="B10" s="13" t="s">
        <v>167</v>
      </c>
      <c r="C10" s="13" t="s">
        <v>168</v>
      </c>
      <c r="D10" s="105" t="s">
        <v>161</v>
      </c>
      <c r="E10" s="106">
        <v>896</v>
      </c>
      <c r="F10" s="349"/>
      <c r="G10" s="106"/>
      <c r="H10" s="106"/>
      <c r="I10" s="106">
        <f t="shared" si="0"/>
        <v>896</v>
      </c>
      <c r="J10" s="106">
        <v>2500</v>
      </c>
      <c r="K10" s="107"/>
      <c r="L10" s="107"/>
      <c r="M10" s="107"/>
    </row>
    <row r="11" spans="1:13" s="14" customFormat="1">
      <c r="A11" s="104">
        <v>7</v>
      </c>
      <c r="B11" s="13" t="s">
        <v>169</v>
      </c>
      <c r="C11" s="13" t="s">
        <v>166</v>
      </c>
      <c r="D11" s="105"/>
      <c r="E11" s="106">
        <v>318.5</v>
      </c>
      <c r="F11" s="349"/>
      <c r="G11" s="106"/>
      <c r="H11" s="106"/>
      <c r="I11" s="106">
        <f t="shared" si="0"/>
        <v>318.5</v>
      </c>
      <c r="J11" s="106">
        <v>500</v>
      </c>
      <c r="K11" s="107"/>
      <c r="L11" s="107"/>
      <c r="M11" s="107"/>
    </row>
    <row r="12" spans="1:13" s="14" customFormat="1">
      <c r="A12" s="104">
        <v>8</v>
      </c>
      <c r="B12" s="13" t="s">
        <v>170</v>
      </c>
      <c r="C12" s="13" t="s">
        <v>168</v>
      </c>
      <c r="D12" s="105" t="s">
        <v>7</v>
      </c>
      <c r="E12" s="106">
        <v>318.5</v>
      </c>
      <c r="F12" s="349"/>
      <c r="G12" s="106"/>
      <c r="H12" s="106"/>
      <c r="I12" s="106">
        <f t="shared" si="0"/>
        <v>318.5</v>
      </c>
      <c r="J12" s="106">
        <v>600</v>
      </c>
      <c r="K12" s="107"/>
      <c r="L12" s="107"/>
      <c r="M12" s="107"/>
    </row>
    <row r="13" spans="1:13" s="14" customFormat="1">
      <c r="A13" s="104">
        <v>9</v>
      </c>
      <c r="B13" s="13" t="s">
        <v>171</v>
      </c>
      <c r="C13" s="13" t="s">
        <v>172</v>
      </c>
      <c r="D13" s="105"/>
      <c r="E13" s="106">
        <v>318.5</v>
      </c>
      <c r="F13" s="349"/>
      <c r="G13" s="106"/>
      <c r="H13" s="106"/>
      <c r="I13" s="106">
        <f t="shared" si="0"/>
        <v>318.5</v>
      </c>
      <c r="J13" s="106">
        <v>600</v>
      </c>
      <c r="K13" s="107"/>
      <c r="L13" s="107"/>
      <c r="M13" s="107"/>
    </row>
    <row r="14" spans="1:13" s="14" customFormat="1">
      <c r="A14" s="104">
        <v>10</v>
      </c>
      <c r="B14" s="13" t="s">
        <v>173</v>
      </c>
      <c r="C14" s="13" t="s">
        <v>174</v>
      </c>
      <c r="D14" s="105"/>
      <c r="E14" s="106">
        <v>318.5</v>
      </c>
      <c r="F14" s="349"/>
      <c r="G14" s="106"/>
      <c r="H14" s="106"/>
      <c r="I14" s="106">
        <f t="shared" si="0"/>
        <v>318.5</v>
      </c>
      <c r="J14" s="19">
        <v>600</v>
      </c>
      <c r="K14" s="107"/>
      <c r="L14" s="107"/>
      <c r="M14" s="107"/>
    </row>
    <row r="15" spans="1:13" s="14" customFormat="1">
      <c r="A15" s="104">
        <v>11</v>
      </c>
      <c r="B15" s="13" t="s">
        <v>175</v>
      </c>
      <c r="C15" s="13" t="s">
        <v>176</v>
      </c>
      <c r="D15" s="105"/>
      <c r="E15" s="106"/>
      <c r="F15" s="349"/>
      <c r="G15" s="106"/>
      <c r="H15" s="106"/>
      <c r="I15" s="106">
        <f t="shared" si="0"/>
        <v>0</v>
      </c>
      <c r="J15" s="106">
        <v>250</v>
      </c>
      <c r="K15" s="107"/>
      <c r="L15" s="107"/>
      <c r="M15" s="107"/>
    </row>
    <row r="16" spans="1:13" s="14" customFormat="1">
      <c r="A16" s="104">
        <v>12</v>
      </c>
      <c r="B16" s="13" t="s">
        <v>177</v>
      </c>
      <c r="C16" s="13" t="s">
        <v>168</v>
      </c>
      <c r="D16" s="108">
        <v>42186</v>
      </c>
      <c r="E16" s="106">
        <v>3000</v>
      </c>
      <c r="F16" s="349"/>
      <c r="G16" s="106"/>
      <c r="H16" s="106"/>
      <c r="I16" s="106">
        <f t="shared" si="0"/>
        <v>3000</v>
      </c>
      <c r="J16" s="106">
        <v>20000</v>
      </c>
      <c r="K16" s="107"/>
      <c r="L16" s="107"/>
      <c r="M16" s="107"/>
    </row>
    <row r="17" spans="1:13" s="14" customFormat="1">
      <c r="A17" s="104">
        <v>13</v>
      </c>
      <c r="B17" s="13" t="s">
        <v>178</v>
      </c>
      <c r="C17" s="13" t="s">
        <v>168</v>
      </c>
      <c r="D17" s="105"/>
      <c r="E17" s="106">
        <v>624</v>
      </c>
      <c r="F17" s="349"/>
      <c r="G17" s="106"/>
      <c r="H17" s="106"/>
      <c r="I17" s="106">
        <f t="shared" si="0"/>
        <v>624</v>
      </c>
      <c r="J17" s="106">
        <v>1500</v>
      </c>
      <c r="K17" s="107"/>
      <c r="L17" s="107"/>
      <c r="M17" s="107"/>
    </row>
    <row r="18" spans="1:13" s="124" customFormat="1">
      <c r="A18" s="120">
        <v>14</v>
      </c>
      <c r="B18" s="121" t="s">
        <v>179</v>
      </c>
      <c r="C18" s="121" t="s">
        <v>168</v>
      </c>
      <c r="D18" s="122"/>
      <c r="E18" s="109"/>
      <c r="F18" s="351" t="s">
        <v>379</v>
      </c>
      <c r="G18" s="109"/>
      <c r="H18" s="109"/>
      <c r="I18" s="106">
        <f t="shared" si="0"/>
        <v>0</v>
      </c>
      <c r="J18" s="109">
        <v>0</v>
      </c>
      <c r="K18" s="123"/>
      <c r="L18" s="123"/>
      <c r="M18" s="123"/>
    </row>
    <row r="19" spans="1:13" s="14" customFormat="1">
      <c r="A19" s="104">
        <v>15</v>
      </c>
      <c r="B19" s="13" t="s">
        <v>180</v>
      </c>
      <c r="C19" s="13" t="s">
        <v>168</v>
      </c>
      <c r="D19" s="105"/>
      <c r="E19" s="106"/>
      <c r="F19" s="349"/>
      <c r="G19" s="106"/>
      <c r="H19" s="106"/>
      <c r="I19" s="106">
        <f t="shared" si="0"/>
        <v>0</v>
      </c>
      <c r="J19" s="106">
        <v>650</v>
      </c>
      <c r="K19" s="107"/>
      <c r="L19" s="107"/>
      <c r="M19" s="107"/>
    </row>
    <row r="20" spans="1:13" s="14" customFormat="1">
      <c r="A20" s="104">
        <v>16</v>
      </c>
      <c r="B20" s="13" t="s">
        <v>181</v>
      </c>
      <c r="C20" s="13" t="s">
        <v>168</v>
      </c>
      <c r="D20" s="105"/>
      <c r="E20" s="106"/>
      <c r="F20" s="349"/>
      <c r="G20" s="106"/>
      <c r="H20" s="106"/>
      <c r="I20" s="106">
        <f t="shared" si="0"/>
        <v>0</v>
      </c>
      <c r="J20" s="106">
        <v>10000</v>
      </c>
      <c r="K20" s="107"/>
      <c r="L20" s="107"/>
      <c r="M20" s="107"/>
    </row>
    <row r="21" spans="1:13" s="14" customFormat="1">
      <c r="A21" s="104">
        <v>17</v>
      </c>
      <c r="B21" s="13" t="s">
        <v>182</v>
      </c>
      <c r="C21" s="13" t="s">
        <v>168</v>
      </c>
      <c r="D21" s="105" t="s">
        <v>161</v>
      </c>
      <c r="E21" s="106"/>
      <c r="F21" s="349"/>
      <c r="G21" s="106"/>
      <c r="H21" s="106"/>
      <c r="I21" s="106">
        <f t="shared" si="0"/>
        <v>0</v>
      </c>
      <c r="J21" s="106">
        <v>1300</v>
      </c>
      <c r="K21" s="107"/>
      <c r="L21" s="107"/>
      <c r="M21" s="107"/>
    </row>
    <row r="22" spans="1:13" s="14" customFormat="1">
      <c r="A22" s="104">
        <v>18</v>
      </c>
      <c r="B22" s="13" t="s">
        <v>183</v>
      </c>
      <c r="C22" s="13" t="s">
        <v>168</v>
      </c>
      <c r="D22" s="105" t="s">
        <v>161</v>
      </c>
      <c r="E22" s="106"/>
      <c r="F22" s="349"/>
      <c r="G22" s="106"/>
      <c r="H22" s="106"/>
      <c r="I22" s="106">
        <f t="shared" si="0"/>
        <v>0</v>
      </c>
      <c r="J22" s="106">
        <v>800</v>
      </c>
      <c r="K22" s="107"/>
      <c r="L22" s="107"/>
      <c r="M22" s="107"/>
    </row>
    <row r="23" spans="1:13" s="14" customFormat="1">
      <c r="A23" s="104">
        <v>19</v>
      </c>
      <c r="B23" s="13" t="s">
        <v>184</v>
      </c>
      <c r="C23" s="13" t="s">
        <v>168</v>
      </c>
      <c r="D23" s="105">
        <v>2013</v>
      </c>
      <c r="E23" s="106">
        <v>907</v>
      </c>
      <c r="F23" s="349"/>
      <c r="G23" s="106"/>
      <c r="H23" s="106"/>
      <c r="I23" s="106">
        <f t="shared" si="0"/>
        <v>907</v>
      </c>
      <c r="J23" s="106">
        <v>5000</v>
      </c>
      <c r="K23" s="107"/>
      <c r="L23" s="107"/>
      <c r="M23" s="107"/>
    </row>
    <row r="24" spans="1:13" s="14" customFormat="1">
      <c r="A24" s="104">
        <v>20</v>
      </c>
      <c r="B24" s="13" t="s">
        <v>185</v>
      </c>
      <c r="C24" s="13" t="s">
        <v>168</v>
      </c>
      <c r="D24" s="105">
        <v>2013</v>
      </c>
      <c r="E24" s="106">
        <v>423</v>
      </c>
      <c r="F24" s="349"/>
      <c r="G24" s="106"/>
      <c r="H24" s="106"/>
      <c r="I24" s="106">
        <f t="shared" si="0"/>
        <v>423</v>
      </c>
      <c r="J24" s="106">
        <v>7200</v>
      </c>
      <c r="K24" s="107"/>
      <c r="L24" s="107"/>
      <c r="M24" s="107"/>
    </row>
    <row r="25" spans="1:13" s="14" customFormat="1">
      <c r="A25" s="104">
        <v>21</v>
      </c>
      <c r="B25" s="13" t="s">
        <v>186</v>
      </c>
      <c r="C25" s="13" t="s">
        <v>168</v>
      </c>
      <c r="D25" s="105">
        <v>2013</v>
      </c>
      <c r="E25" s="106"/>
      <c r="F25" s="349"/>
      <c r="G25" s="106"/>
      <c r="H25" s="106"/>
      <c r="I25" s="106">
        <f t="shared" si="0"/>
        <v>0</v>
      </c>
      <c r="J25" s="106">
        <v>2300</v>
      </c>
      <c r="K25" s="107"/>
      <c r="L25" s="107"/>
      <c r="M25" s="107"/>
    </row>
    <row r="26" spans="1:13" s="14" customFormat="1">
      <c r="A26" s="104">
        <v>22</v>
      </c>
      <c r="B26" s="13" t="s">
        <v>187</v>
      </c>
      <c r="C26" s="13" t="s">
        <v>168</v>
      </c>
      <c r="D26" s="105"/>
      <c r="E26" s="106"/>
      <c r="F26" s="349"/>
      <c r="G26" s="106"/>
      <c r="H26" s="106"/>
      <c r="I26" s="106">
        <f t="shared" si="0"/>
        <v>0</v>
      </c>
      <c r="J26" s="106">
        <v>4130</v>
      </c>
      <c r="K26" s="107"/>
      <c r="L26" s="107"/>
      <c r="M26" s="107"/>
    </row>
    <row r="27" spans="1:13" s="14" customFormat="1">
      <c r="A27" s="104">
        <v>23</v>
      </c>
      <c r="B27" s="13" t="s">
        <v>188</v>
      </c>
      <c r="C27" s="13" t="s">
        <v>168</v>
      </c>
      <c r="D27" s="105">
        <v>2013</v>
      </c>
      <c r="E27" s="106">
        <v>23499</v>
      </c>
      <c r="F27" s="349"/>
      <c r="G27" s="106"/>
      <c r="H27" s="106"/>
      <c r="I27" s="106">
        <f t="shared" si="0"/>
        <v>23499</v>
      </c>
      <c r="J27" s="106">
        <v>7434</v>
      </c>
      <c r="K27" s="107"/>
      <c r="L27" s="107"/>
      <c r="M27" s="107"/>
    </row>
    <row r="28" spans="1:13" s="14" customFormat="1">
      <c r="A28" s="104">
        <v>24</v>
      </c>
      <c r="B28" s="13" t="s">
        <v>189</v>
      </c>
      <c r="C28" s="13" t="s">
        <v>190</v>
      </c>
      <c r="D28" s="105">
        <v>2013</v>
      </c>
      <c r="E28" s="106">
        <v>3200</v>
      </c>
      <c r="F28" s="349"/>
      <c r="G28" s="106"/>
      <c r="H28" s="106"/>
      <c r="I28" s="338">
        <f t="shared" si="0"/>
        <v>3200</v>
      </c>
      <c r="J28" s="106">
        <v>3200</v>
      </c>
      <c r="K28" s="107"/>
      <c r="L28" s="107"/>
      <c r="M28" s="107"/>
    </row>
    <row r="29" spans="1:13" s="14" customFormat="1">
      <c r="A29" s="104">
        <v>25</v>
      </c>
      <c r="B29" s="13" t="s">
        <v>191</v>
      </c>
      <c r="C29" s="13" t="s">
        <v>190</v>
      </c>
      <c r="D29" s="105">
        <v>2013</v>
      </c>
      <c r="E29" s="106">
        <v>2223</v>
      </c>
      <c r="F29" s="349"/>
      <c r="G29" s="106"/>
      <c r="H29" s="106"/>
      <c r="I29" s="338">
        <f t="shared" si="0"/>
        <v>2223</v>
      </c>
      <c r="J29" s="109">
        <v>200</v>
      </c>
      <c r="K29" s="107"/>
      <c r="L29" s="107"/>
      <c r="M29" s="107"/>
    </row>
    <row r="30" spans="1:13" s="14" customFormat="1">
      <c r="A30" s="104">
        <v>26</v>
      </c>
      <c r="B30" s="13" t="s">
        <v>192</v>
      </c>
      <c r="C30" s="13" t="s">
        <v>166</v>
      </c>
      <c r="D30" s="105">
        <v>2017</v>
      </c>
      <c r="E30" s="106">
        <v>1645</v>
      </c>
      <c r="F30" s="349"/>
      <c r="G30" s="106"/>
      <c r="H30" s="106"/>
      <c r="I30" s="106">
        <f t="shared" si="0"/>
        <v>1645</v>
      </c>
      <c r="J30" s="126">
        <v>1845</v>
      </c>
      <c r="K30" s="107"/>
      <c r="L30" s="107"/>
      <c r="M30" s="107"/>
    </row>
    <row r="31" spans="1:13" s="14" customFormat="1">
      <c r="A31" s="104">
        <v>27</v>
      </c>
      <c r="B31" s="13" t="s">
        <v>193</v>
      </c>
      <c r="C31" s="13" t="s">
        <v>194</v>
      </c>
      <c r="D31" s="105"/>
      <c r="E31" s="106"/>
      <c r="F31" s="349"/>
      <c r="G31" s="106"/>
      <c r="H31" s="106"/>
      <c r="I31" s="106">
        <f t="shared" si="0"/>
        <v>0</v>
      </c>
      <c r="J31" s="106">
        <v>190</v>
      </c>
      <c r="K31" s="107"/>
      <c r="L31" s="107"/>
      <c r="M31" s="107"/>
    </row>
    <row r="32" spans="1:13" s="14" customFormat="1">
      <c r="A32" s="104">
        <v>28</v>
      </c>
      <c r="B32" s="13" t="s">
        <v>193</v>
      </c>
      <c r="C32" s="13" t="s">
        <v>195</v>
      </c>
      <c r="D32" s="105"/>
      <c r="E32" s="106">
        <v>596</v>
      </c>
      <c r="F32" s="349"/>
      <c r="G32" s="106"/>
      <c r="H32" s="106"/>
      <c r="I32" s="106">
        <f t="shared" si="0"/>
        <v>596</v>
      </c>
      <c r="J32" s="106">
        <v>190</v>
      </c>
      <c r="K32" s="107"/>
      <c r="L32" s="107"/>
      <c r="M32" s="107"/>
    </row>
    <row r="33" spans="1:13" s="14" customFormat="1">
      <c r="A33" s="104">
        <v>29</v>
      </c>
      <c r="B33" s="13" t="s">
        <v>193</v>
      </c>
      <c r="C33" s="13" t="s">
        <v>196</v>
      </c>
      <c r="D33" s="105"/>
      <c r="E33" s="106"/>
      <c r="F33" s="349"/>
      <c r="G33" s="106"/>
      <c r="H33" s="106"/>
      <c r="I33" s="106">
        <f t="shared" si="0"/>
        <v>0</v>
      </c>
      <c r="J33" s="106">
        <v>190</v>
      </c>
      <c r="K33" s="107"/>
      <c r="L33" s="107"/>
      <c r="M33" s="107"/>
    </row>
    <row r="34" spans="1:13" s="14" customFormat="1">
      <c r="A34" s="104">
        <v>30</v>
      </c>
      <c r="B34" s="13" t="s">
        <v>193</v>
      </c>
      <c r="C34" s="13" t="s">
        <v>197</v>
      </c>
      <c r="D34" s="105"/>
      <c r="E34" s="106"/>
      <c r="F34" s="349"/>
      <c r="G34" s="106"/>
      <c r="H34" s="106"/>
      <c r="I34" s="106">
        <f t="shared" si="0"/>
        <v>0</v>
      </c>
      <c r="J34" s="106">
        <v>190</v>
      </c>
      <c r="K34" s="107"/>
      <c r="L34" s="107"/>
      <c r="M34" s="107"/>
    </row>
    <row r="35" spans="1:13" s="14" customFormat="1">
      <c r="A35" s="104">
        <v>31</v>
      </c>
      <c r="B35" s="13" t="s">
        <v>198</v>
      </c>
      <c r="C35" s="13" t="s">
        <v>199</v>
      </c>
      <c r="D35" s="105"/>
      <c r="E35" s="106">
        <v>1000</v>
      </c>
      <c r="F35" s="349"/>
      <c r="G35" s="106"/>
      <c r="H35" s="106"/>
      <c r="I35" s="106">
        <f t="shared" si="0"/>
        <v>1000</v>
      </c>
      <c r="J35" s="19">
        <v>115</v>
      </c>
      <c r="K35" s="107"/>
      <c r="L35" s="107"/>
      <c r="M35" s="107"/>
    </row>
    <row r="36" spans="1:13" s="14" customFormat="1">
      <c r="A36" s="104">
        <v>32</v>
      </c>
      <c r="B36" s="13" t="s">
        <v>200</v>
      </c>
      <c r="C36" s="13" t="s">
        <v>201</v>
      </c>
      <c r="D36" s="105"/>
      <c r="E36" s="106"/>
      <c r="F36" s="349"/>
      <c r="G36" s="106"/>
      <c r="H36" s="106"/>
      <c r="I36" s="106">
        <f t="shared" si="0"/>
        <v>0</v>
      </c>
      <c r="J36" s="19">
        <v>115</v>
      </c>
      <c r="K36" s="107"/>
      <c r="L36" s="107"/>
      <c r="M36" s="107"/>
    </row>
    <row r="37" spans="1:13" s="14" customFormat="1">
      <c r="A37" s="104">
        <v>33</v>
      </c>
      <c r="B37" s="13" t="s">
        <v>202</v>
      </c>
      <c r="C37" s="13" t="s">
        <v>203</v>
      </c>
      <c r="D37" s="105"/>
      <c r="E37" s="106"/>
      <c r="F37" s="349"/>
      <c r="G37" s="106"/>
      <c r="H37" s="106"/>
      <c r="I37" s="106">
        <f t="shared" si="0"/>
        <v>0</v>
      </c>
      <c r="J37" s="19">
        <v>115</v>
      </c>
      <c r="K37" s="107"/>
      <c r="L37" s="107"/>
      <c r="M37" s="107"/>
    </row>
    <row r="38" spans="1:13" s="14" customFormat="1">
      <c r="A38" s="104">
        <v>34</v>
      </c>
      <c r="B38" s="13" t="s">
        <v>204</v>
      </c>
      <c r="C38" s="13" t="s">
        <v>205</v>
      </c>
      <c r="D38" s="105"/>
      <c r="E38" s="106"/>
      <c r="F38" s="349"/>
      <c r="G38" s="106"/>
      <c r="H38" s="106"/>
      <c r="I38" s="106">
        <f t="shared" si="0"/>
        <v>0</v>
      </c>
      <c r="J38" s="19">
        <v>115</v>
      </c>
      <c r="K38" s="107"/>
      <c r="L38" s="107"/>
      <c r="M38" s="107"/>
    </row>
    <row r="39" spans="1:13" s="14" customFormat="1">
      <c r="A39" s="104">
        <v>35</v>
      </c>
      <c r="B39" s="13" t="s">
        <v>206</v>
      </c>
      <c r="C39" s="13" t="s">
        <v>207</v>
      </c>
      <c r="D39" s="105"/>
      <c r="E39" s="106"/>
      <c r="F39" s="349"/>
      <c r="G39" s="106"/>
      <c r="H39" s="106"/>
      <c r="I39" s="106">
        <f t="shared" si="0"/>
        <v>0</v>
      </c>
      <c r="J39" s="19">
        <v>115</v>
      </c>
      <c r="K39" s="107"/>
      <c r="L39" s="107"/>
      <c r="M39" s="107"/>
    </row>
    <row r="40" spans="1:13" s="14" customFormat="1">
      <c r="A40" s="104">
        <v>36</v>
      </c>
      <c r="B40" s="13" t="s">
        <v>208</v>
      </c>
      <c r="C40" s="13" t="s">
        <v>209</v>
      </c>
      <c r="D40" s="105"/>
      <c r="E40" s="106"/>
      <c r="F40" s="349"/>
      <c r="G40" s="106"/>
      <c r="H40" s="106"/>
      <c r="I40" s="106">
        <f t="shared" si="0"/>
        <v>0</v>
      </c>
      <c r="J40" s="19">
        <v>115</v>
      </c>
      <c r="K40" s="107"/>
      <c r="L40" s="107"/>
      <c r="M40" s="107"/>
    </row>
    <row r="41" spans="1:13" s="14" customFormat="1">
      <c r="A41" s="104">
        <v>37</v>
      </c>
      <c r="B41" s="13" t="s">
        <v>210</v>
      </c>
      <c r="C41" s="13" t="s">
        <v>211</v>
      </c>
      <c r="D41" s="105"/>
      <c r="E41" s="106"/>
      <c r="F41" s="349"/>
      <c r="G41" s="106"/>
      <c r="H41" s="106"/>
      <c r="I41" s="106">
        <f t="shared" si="0"/>
        <v>0</v>
      </c>
      <c r="J41" s="19">
        <v>115</v>
      </c>
      <c r="K41" s="107"/>
      <c r="L41" s="107"/>
      <c r="M41" s="107"/>
    </row>
    <row r="42" spans="1:13" s="14" customFormat="1">
      <c r="A42" s="104">
        <v>38</v>
      </c>
      <c r="B42" s="13" t="s">
        <v>212</v>
      </c>
      <c r="C42" s="13" t="s">
        <v>213</v>
      </c>
      <c r="D42" s="105"/>
      <c r="E42" s="106"/>
      <c r="F42" s="349"/>
      <c r="G42" s="106"/>
      <c r="H42" s="106"/>
      <c r="I42" s="106">
        <f t="shared" si="0"/>
        <v>0</v>
      </c>
      <c r="J42" s="19">
        <v>115</v>
      </c>
      <c r="K42" s="107"/>
      <c r="L42" s="107"/>
      <c r="M42" s="107"/>
    </row>
    <row r="43" spans="1:13" s="14" customFormat="1">
      <c r="A43" s="104">
        <v>39</v>
      </c>
      <c r="B43" s="13" t="s">
        <v>214</v>
      </c>
      <c r="C43" s="13" t="s">
        <v>215</v>
      </c>
      <c r="D43" s="105"/>
      <c r="E43" s="106"/>
      <c r="F43" s="349"/>
      <c r="G43" s="106"/>
      <c r="H43" s="106"/>
      <c r="I43" s="106">
        <f t="shared" si="0"/>
        <v>0</v>
      </c>
      <c r="J43" s="19">
        <v>115</v>
      </c>
      <c r="K43" s="107"/>
      <c r="L43" s="107"/>
      <c r="M43" s="107"/>
    </row>
    <row r="44" spans="1:13" s="14" customFormat="1">
      <c r="A44" s="104">
        <v>40</v>
      </c>
      <c r="B44" s="13" t="s">
        <v>216</v>
      </c>
      <c r="C44" s="13" t="s">
        <v>217</v>
      </c>
      <c r="D44" s="105"/>
      <c r="E44" s="106">
        <v>205</v>
      </c>
      <c r="F44" s="349"/>
      <c r="G44" s="106"/>
      <c r="H44" s="106"/>
      <c r="I44" s="106">
        <f t="shared" si="0"/>
        <v>205</v>
      </c>
      <c r="J44" s="19">
        <v>115</v>
      </c>
      <c r="K44" s="107"/>
      <c r="L44" s="107"/>
      <c r="M44" s="107"/>
    </row>
    <row r="45" spans="1:13" s="14" customFormat="1">
      <c r="A45" s="104">
        <v>41</v>
      </c>
      <c r="B45" s="13" t="s">
        <v>218</v>
      </c>
      <c r="C45" s="13" t="s">
        <v>219</v>
      </c>
      <c r="D45" s="105"/>
      <c r="E45" s="19"/>
      <c r="F45" s="349"/>
      <c r="G45" s="106"/>
      <c r="H45" s="106"/>
      <c r="I45" s="106">
        <f t="shared" si="0"/>
        <v>0</v>
      </c>
      <c r="J45" s="19">
        <v>100</v>
      </c>
      <c r="K45" s="107"/>
      <c r="L45" s="107"/>
      <c r="M45" s="107"/>
    </row>
    <row r="46" spans="1:13" s="14" customFormat="1">
      <c r="A46" s="104">
        <v>42</v>
      </c>
      <c r="B46" s="13" t="s">
        <v>220</v>
      </c>
      <c r="C46" s="13" t="s">
        <v>221</v>
      </c>
      <c r="D46" s="105"/>
      <c r="E46" s="106"/>
      <c r="F46" s="349"/>
      <c r="G46" s="106"/>
      <c r="H46" s="106"/>
      <c r="I46" s="106">
        <f t="shared" si="0"/>
        <v>0</v>
      </c>
      <c r="J46" s="19">
        <v>100</v>
      </c>
      <c r="K46" s="107"/>
      <c r="L46" s="107"/>
      <c r="M46" s="107"/>
    </row>
    <row r="47" spans="1:13" s="14" customFormat="1">
      <c r="A47" s="104">
        <v>43</v>
      </c>
      <c r="B47" s="13" t="s">
        <v>222</v>
      </c>
      <c r="C47" s="13" t="s">
        <v>223</v>
      </c>
      <c r="D47" s="105"/>
      <c r="E47" s="106">
        <v>5000</v>
      </c>
      <c r="F47" s="349"/>
      <c r="G47" s="106"/>
      <c r="H47" s="106"/>
      <c r="I47" s="106">
        <f t="shared" si="0"/>
        <v>5000</v>
      </c>
      <c r="J47" s="19">
        <v>2000</v>
      </c>
      <c r="K47" s="107"/>
      <c r="L47" s="107"/>
      <c r="M47" s="107"/>
    </row>
    <row r="48" spans="1:13" s="14" customFormat="1">
      <c r="A48" s="104">
        <v>44</v>
      </c>
      <c r="B48" s="13" t="s">
        <v>222</v>
      </c>
      <c r="C48" s="13" t="s">
        <v>224</v>
      </c>
      <c r="D48" s="105"/>
      <c r="E48" s="106"/>
      <c r="F48" s="349"/>
      <c r="G48" s="106"/>
      <c r="H48" s="106"/>
      <c r="I48" s="106">
        <f t="shared" si="0"/>
        <v>0</v>
      </c>
      <c r="J48" s="19">
        <v>2000</v>
      </c>
      <c r="K48" s="107"/>
      <c r="L48" s="107"/>
      <c r="M48" s="107"/>
    </row>
    <row r="49" spans="1:13" s="14" customFormat="1">
      <c r="A49" s="104">
        <v>45</v>
      </c>
      <c r="B49" s="13" t="s">
        <v>225</v>
      </c>
      <c r="C49" s="13" t="s">
        <v>226</v>
      </c>
      <c r="D49" s="105" t="s">
        <v>227</v>
      </c>
      <c r="E49" s="106">
        <v>938</v>
      </c>
      <c r="F49" s="352" t="s">
        <v>380</v>
      </c>
      <c r="G49" s="106">
        <v>732.49</v>
      </c>
      <c r="H49" s="106"/>
      <c r="I49" s="338">
        <v>0</v>
      </c>
      <c r="J49" s="125">
        <v>0</v>
      </c>
      <c r="K49" s="107"/>
      <c r="L49" s="107"/>
      <c r="M49" s="107"/>
    </row>
    <row r="50" spans="1:13" s="14" customFormat="1">
      <c r="A50" s="104">
        <v>46</v>
      </c>
      <c r="B50" s="13" t="s">
        <v>228</v>
      </c>
      <c r="C50" s="13" t="s">
        <v>229</v>
      </c>
      <c r="D50" s="105" t="s">
        <v>230</v>
      </c>
      <c r="E50" s="106">
        <v>235</v>
      </c>
      <c r="F50" s="349"/>
      <c r="G50" s="106"/>
      <c r="H50" s="106"/>
      <c r="I50" s="106">
        <f t="shared" si="0"/>
        <v>235</v>
      </c>
      <c r="J50" s="19">
        <v>235</v>
      </c>
      <c r="K50" s="107"/>
      <c r="L50" s="107"/>
      <c r="M50" s="107"/>
    </row>
    <row r="51" spans="1:13" s="14" customFormat="1">
      <c r="A51" s="104">
        <v>47</v>
      </c>
      <c r="B51" s="13" t="s">
        <v>231</v>
      </c>
      <c r="C51" s="13" t="s">
        <v>229</v>
      </c>
      <c r="D51" s="105" t="s">
        <v>230</v>
      </c>
      <c r="E51" s="106">
        <v>235</v>
      </c>
      <c r="F51" s="349"/>
      <c r="G51" s="106"/>
      <c r="H51" s="106"/>
      <c r="I51" s="106">
        <f t="shared" si="0"/>
        <v>235</v>
      </c>
      <c r="J51" s="19">
        <v>235</v>
      </c>
      <c r="K51" s="107"/>
      <c r="L51" s="107"/>
      <c r="M51" s="107"/>
    </row>
    <row r="52" spans="1:13" s="14" customFormat="1">
      <c r="A52" s="104">
        <v>48</v>
      </c>
      <c r="B52" s="13" t="s">
        <v>232</v>
      </c>
      <c r="C52" s="13" t="s">
        <v>233</v>
      </c>
      <c r="D52" s="105"/>
      <c r="E52" s="106"/>
      <c r="F52" s="349"/>
      <c r="G52" s="106"/>
      <c r="H52" s="106"/>
      <c r="I52" s="106">
        <f t="shared" si="0"/>
        <v>0</v>
      </c>
      <c r="J52" s="19">
        <v>4000</v>
      </c>
      <c r="K52" s="107"/>
      <c r="L52" s="107"/>
      <c r="M52" s="107"/>
    </row>
    <row r="53" spans="1:13" s="14" customFormat="1">
      <c r="A53" s="104">
        <v>49</v>
      </c>
      <c r="B53" s="13" t="s">
        <v>235</v>
      </c>
      <c r="C53" s="13" t="s">
        <v>146</v>
      </c>
      <c r="D53" s="105">
        <v>2023</v>
      </c>
      <c r="E53" s="106"/>
      <c r="F53" s="349"/>
      <c r="G53" s="106"/>
      <c r="H53" s="106">
        <v>1</v>
      </c>
      <c r="I53" s="106">
        <f>H53</f>
        <v>1</v>
      </c>
      <c r="J53" s="19">
        <v>1</v>
      </c>
      <c r="K53" s="107"/>
      <c r="L53" s="107"/>
      <c r="M53" s="107"/>
    </row>
    <row r="54" spans="1:13" s="14" customFormat="1">
      <c r="A54" s="104">
        <v>50</v>
      </c>
      <c r="B54" s="13" t="s">
        <v>179</v>
      </c>
      <c r="C54" s="13" t="s">
        <v>146</v>
      </c>
      <c r="D54" s="105" t="s">
        <v>236</v>
      </c>
      <c r="E54" s="106"/>
      <c r="F54" s="349"/>
      <c r="G54" s="106"/>
      <c r="H54" s="106">
        <v>98</v>
      </c>
      <c r="I54" s="106">
        <f>H54</f>
        <v>98</v>
      </c>
      <c r="J54" s="19">
        <f t="shared" ref="J54:J56" si="1">H54</f>
        <v>98</v>
      </c>
      <c r="K54" s="107"/>
      <c r="L54" s="107"/>
      <c r="M54" s="107"/>
    </row>
    <row r="55" spans="1:13" s="14" customFormat="1">
      <c r="A55" s="104"/>
      <c r="B55" s="13" t="s">
        <v>378</v>
      </c>
      <c r="C55" s="13" t="s">
        <v>238</v>
      </c>
      <c r="D55" s="348">
        <v>45596</v>
      </c>
      <c r="E55" s="106"/>
      <c r="F55" s="349"/>
      <c r="G55" s="106"/>
      <c r="H55" s="106">
        <v>538.98</v>
      </c>
      <c r="I55" s="106">
        <v>538.98</v>
      </c>
      <c r="J55" s="19">
        <v>538.98</v>
      </c>
      <c r="K55" s="107"/>
      <c r="L55" s="107"/>
      <c r="M55" s="107"/>
    </row>
    <row r="56" spans="1:13" s="14" customFormat="1">
      <c r="A56" s="104">
        <v>51</v>
      </c>
      <c r="B56" s="13" t="s">
        <v>237</v>
      </c>
      <c r="C56" s="13" t="s">
        <v>238</v>
      </c>
      <c r="D56" s="105" t="s">
        <v>239</v>
      </c>
      <c r="E56" s="106"/>
      <c r="F56" s="349"/>
      <c r="G56" s="106"/>
      <c r="H56" s="106">
        <v>69</v>
      </c>
      <c r="I56" s="106">
        <f>H56</f>
        <v>69</v>
      </c>
      <c r="J56" s="19">
        <f t="shared" si="1"/>
        <v>69</v>
      </c>
      <c r="K56" s="107"/>
      <c r="L56" s="107"/>
      <c r="M56" s="107"/>
    </row>
    <row r="57" spans="1:13" s="14" customFormat="1" ht="16" thickBot="1">
      <c r="A57" s="110"/>
      <c r="C57" s="17"/>
      <c r="D57" s="111"/>
      <c r="E57" s="112">
        <f>SUM(E5:E56)</f>
        <v>49835</v>
      </c>
      <c r="F57" s="350"/>
      <c r="G57" s="112">
        <f>SUM(G5:G52)</f>
        <v>732.49</v>
      </c>
      <c r="H57" s="112">
        <f>SUM(H5:H56)</f>
        <v>706.98</v>
      </c>
      <c r="I57" s="192">
        <f>SUM(I5:I56)</f>
        <v>49603.98</v>
      </c>
      <c r="J57" s="355">
        <f>SUM(J5:J56)</f>
        <v>96195.98</v>
      </c>
      <c r="K57" s="107"/>
      <c r="L57" s="107"/>
      <c r="M57" s="107"/>
    </row>
    <row r="58" spans="1:13" s="88" customFormat="1" ht="16" thickTop="1">
      <c r="A58" s="113"/>
      <c r="D58" s="96"/>
      <c r="E58" s="15" t="s">
        <v>7</v>
      </c>
      <c r="F58" s="15"/>
      <c r="G58" s="15"/>
      <c r="H58" s="15"/>
      <c r="I58" s="15"/>
      <c r="J58" s="119"/>
      <c r="K58" s="15"/>
      <c r="L58" s="15"/>
      <c r="M58" s="15"/>
    </row>
    <row r="59" spans="1:13" s="88" customFormat="1">
      <c r="A59" s="113"/>
      <c r="D59" s="96"/>
      <c r="E59" s="119"/>
      <c r="F59" s="15"/>
      <c r="G59" s="15"/>
      <c r="H59" s="15"/>
      <c r="I59" s="15"/>
      <c r="J59" s="119"/>
      <c r="K59" s="15"/>
      <c r="L59" s="15"/>
      <c r="M59" s="15"/>
    </row>
    <row r="60" spans="1:13" s="88" customFormat="1">
      <c r="A60" s="113"/>
      <c r="D60" s="96"/>
      <c r="E60" s="15"/>
      <c r="F60" s="15"/>
      <c r="G60" s="15"/>
      <c r="H60" s="15"/>
      <c r="I60" s="15"/>
      <c r="J60" s="353"/>
      <c r="K60" s="15"/>
      <c r="L60" s="15"/>
      <c r="M60" s="15"/>
    </row>
    <row r="61" spans="1:13" s="88" customFormat="1">
      <c r="A61" s="113"/>
      <c r="C61" s="114"/>
      <c r="D61" s="96"/>
      <c r="E61" s="15"/>
      <c r="F61" s="15"/>
      <c r="G61" s="15"/>
      <c r="H61" s="15"/>
      <c r="I61" s="15"/>
      <c r="J61" s="15"/>
      <c r="K61" s="15"/>
      <c r="L61" s="15"/>
      <c r="M61" s="15"/>
    </row>
    <row r="62" spans="1:13" s="88" customFormat="1">
      <c r="A62" s="113"/>
      <c r="D62" s="96"/>
      <c r="E62" s="15"/>
      <c r="F62" s="15"/>
      <c r="G62" s="15"/>
      <c r="H62" s="15"/>
      <c r="I62" s="15"/>
      <c r="J62" s="15"/>
      <c r="K62" s="15"/>
      <c r="L62" s="15"/>
      <c r="M62" s="15"/>
    </row>
    <row r="63" spans="1:13" s="88" customFormat="1">
      <c r="A63" s="113"/>
      <c r="C63" s="114"/>
      <c r="D63" s="96"/>
      <c r="E63" s="15"/>
      <c r="F63" s="15"/>
      <c r="G63" s="15"/>
      <c r="H63" s="15"/>
      <c r="I63" s="15"/>
      <c r="J63" s="354"/>
      <c r="K63" s="15"/>
      <c r="L63" s="15"/>
      <c r="M63" s="15"/>
    </row>
    <row r="64" spans="1:13" s="88" customFormat="1">
      <c r="A64" s="113"/>
      <c r="D64" s="96"/>
      <c r="E64" s="15"/>
      <c r="F64" s="15"/>
      <c r="G64" s="15"/>
      <c r="H64" s="15"/>
      <c r="I64" s="15"/>
      <c r="J64" s="354"/>
      <c r="K64" s="15"/>
      <c r="L64" s="15"/>
      <c r="M64" s="15"/>
    </row>
    <row r="65" spans="1:13" s="88" customFormat="1">
      <c r="A65" s="113"/>
      <c r="C65" s="114"/>
      <c r="D65" s="96"/>
      <c r="E65" s="15"/>
      <c r="F65" s="15"/>
      <c r="G65" s="15"/>
      <c r="H65" s="15"/>
      <c r="I65" s="15"/>
      <c r="J65" s="15"/>
      <c r="K65" s="15"/>
      <c r="L65" s="15"/>
      <c r="M65" s="15"/>
    </row>
    <row r="66" spans="1:13" s="88" customFormat="1">
      <c r="A66" s="113"/>
      <c r="D66" s="96"/>
      <c r="E66" s="15"/>
      <c r="F66" s="15"/>
      <c r="G66" s="15"/>
      <c r="H66" s="15"/>
      <c r="I66" s="15"/>
      <c r="J66" s="119"/>
      <c r="K66" s="15"/>
      <c r="L66" s="15"/>
      <c r="M66" s="15"/>
    </row>
    <row r="67" spans="1:13" s="88" customFormat="1">
      <c r="A67" s="113"/>
      <c r="C67" s="114"/>
      <c r="D67" s="96"/>
      <c r="E67" s="15"/>
      <c r="F67" s="15"/>
      <c r="G67" s="15"/>
      <c r="H67" s="15"/>
      <c r="I67" s="15"/>
      <c r="J67" s="15"/>
      <c r="K67" s="15"/>
      <c r="L67" s="15"/>
      <c r="M67" s="15"/>
    </row>
    <row r="68" spans="1:13" s="88" customFormat="1">
      <c r="A68" s="113"/>
      <c r="D68" s="96"/>
      <c r="E68" s="15"/>
      <c r="F68" s="15"/>
      <c r="G68" s="15"/>
      <c r="H68" s="15"/>
      <c r="I68" s="15"/>
      <c r="J68" s="15"/>
      <c r="K68" s="15"/>
      <c r="L68" s="15"/>
      <c r="M68" s="15"/>
    </row>
    <row r="69" spans="1:13" s="88" customFormat="1">
      <c r="A69" s="113"/>
      <c r="D69" s="96"/>
      <c r="E69" s="15"/>
      <c r="F69" s="15"/>
      <c r="G69" s="15"/>
      <c r="H69" s="15"/>
      <c r="I69" s="15"/>
      <c r="J69" s="15"/>
      <c r="K69" s="15"/>
      <c r="L69" s="15"/>
      <c r="M69" s="15"/>
    </row>
    <row r="70" spans="1:13" s="88" customFormat="1">
      <c r="A70" s="113"/>
      <c r="D70" s="96"/>
      <c r="E70" s="15"/>
      <c r="F70" s="15"/>
      <c r="G70" s="15"/>
      <c r="H70" s="15"/>
      <c r="I70" s="15"/>
      <c r="J70" s="15"/>
      <c r="K70" s="15"/>
      <c r="L70" s="15"/>
      <c r="M70" s="15"/>
    </row>
    <row r="71" spans="1:13" s="88" customFormat="1">
      <c r="A71" s="113"/>
      <c r="D71" s="96"/>
      <c r="E71" s="15"/>
      <c r="F71" s="15"/>
      <c r="G71" s="15"/>
      <c r="H71" s="15"/>
      <c r="I71" s="15"/>
      <c r="J71" s="15"/>
      <c r="K71" s="15"/>
      <c r="L71" s="15"/>
      <c r="M71" s="15"/>
    </row>
    <row r="72" spans="1:13" s="88" customFormat="1">
      <c r="A72" s="113"/>
      <c r="D72" s="96"/>
      <c r="E72" s="15"/>
      <c r="F72" s="15"/>
      <c r="G72" s="15"/>
      <c r="H72" s="15"/>
      <c r="I72" s="15"/>
      <c r="J72" s="15"/>
      <c r="K72" s="15"/>
      <c r="L72" s="15"/>
      <c r="M72" s="15"/>
    </row>
    <row r="73" spans="1:13" s="88" customFormat="1">
      <c r="A73" s="113"/>
      <c r="D73" s="96"/>
      <c r="E73" s="15"/>
      <c r="F73" s="15"/>
      <c r="G73" s="15"/>
      <c r="H73" s="15"/>
      <c r="I73" s="15"/>
      <c r="J73" s="15"/>
      <c r="K73" s="15"/>
      <c r="L73" s="15"/>
      <c r="M73" s="15"/>
    </row>
    <row r="74" spans="1:13" s="88" customFormat="1">
      <c r="A74" s="113"/>
      <c r="D74" s="96"/>
      <c r="E74" s="15"/>
      <c r="F74" s="15"/>
      <c r="G74" s="15"/>
      <c r="H74" s="15"/>
      <c r="I74" s="15"/>
      <c r="J74" s="15"/>
      <c r="K74" s="15"/>
      <c r="L74" s="15"/>
      <c r="M74" s="15"/>
    </row>
    <row r="75" spans="1:13" s="88" customFormat="1">
      <c r="A75" s="113"/>
      <c r="D75" s="96"/>
      <c r="E75" s="15"/>
      <c r="F75" s="15"/>
      <c r="G75" s="15"/>
      <c r="H75" s="15"/>
      <c r="I75" s="15"/>
      <c r="J75" s="15"/>
      <c r="K75" s="15"/>
      <c r="L75" s="15"/>
      <c r="M75" s="15"/>
    </row>
    <row r="76" spans="1:13" s="88" customFormat="1">
      <c r="A76" s="113"/>
      <c r="D76" s="96"/>
      <c r="E76" s="15"/>
      <c r="F76" s="15"/>
      <c r="G76" s="15"/>
      <c r="H76" s="15"/>
      <c r="I76" s="15"/>
      <c r="J76" s="15"/>
      <c r="K76" s="15"/>
      <c r="L76" s="15"/>
      <c r="M76" s="15"/>
    </row>
    <row r="107" spans="3:3">
      <c r="C107" s="114"/>
    </row>
    <row r="113" spans="3:13">
      <c r="C113" s="114"/>
    </row>
    <row r="117" spans="3:13">
      <c r="D117" s="115" t="s">
        <v>222</v>
      </c>
      <c r="E117" s="116" t="s">
        <v>223</v>
      </c>
      <c r="F117" s="116" t="s">
        <v>234</v>
      </c>
      <c r="G117" s="117">
        <v>5000</v>
      </c>
      <c r="L117" s="118">
        <v>5000</v>
      </c>
      <c r="M117" s="118">
        <v>2000</v>
      </c>
    </row>
    <row r="118" spans="3:13">
      <c r="D118" s="115"/>
      <c r="E118" s="116"/>
      <c r="F118" s="116"/>
      <c r="G118" s="117"/>
      <c r="L118" s="118"/>
      <c r="M118" s="118"/>
    </row>
  </sheetData>
  <pageMargins left="0.7" right="0.7" top="0.75" bottom="0.75" header="0.3" footer="0.3"/>
  <pageSetup paperSize="9" scale="85" fitToHeight="2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Bank Rec </vt:lpstr>
      <vt:lpstr>Bank Rec</vt:lpstr>
      <vt:lpstr>Payments Schedule for month</vt:lpstr>
      <vt:lpstr>Payments Receipts Cash Book</vt:lpstr>
      <vt:lpstr>Reserves</vt:lpstr>
      <vt:lpstr>Budget vs Actual  </vt:lpstr>
      <vt:lpstr>Asset Register</vt:lpstr>
      <vt:lpstr>'Asset Register'!Print_Area</vt:lpstr>
      <vt:lpstr>'Bank Rec'!Print_Area</vt:lpstr>
      <vt:lpstr>'Bank Rec '!Print_Area</vt:lpstr>
      <vt:lpstr>'Budget vs Actual  '!Print_Area</vt:lpstr>
      <vt:lpstr>'Payments Receipts Cash Book'!Print_Area</vt:lpstr>
      <vt:lpstr>Reserves!Print_Area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Tina Newell</cp:lastModifiedBy>
  <cp:revision/>
  <cp:lastPrinted>2024-07-01T18:33:39Z</cp:lastPrinted>
  <dcterms:created xsi:type="dcterms:W3CDTF">2008-02-01T12:52:45Z</dcterms:created>
  <dcterms:modified xsi:type="dcterms:W3CDTF">2024-12-29T17:04:20Z</dcterms:modified>
  <cp:category/>
  <cp:contentStatus/>
</cp:coreProperties>
</file>